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525" windowWidth="14805" windowHeight="7590" activeTab="18"/>
  </bookViews>
  <sheets>
    <sheet name="1" sheetId="1" r:id="rId1"/>
    <sheet name="2" sheetId="27" r:id="rId2"/>
    <sheet name="3" sheetId="6" r:id="rId3"/>
    <sheet name="4" sheetId="5" r:id="rId4"/>
    <sheet name="5" sheetId="7" r:id="rId5"/>
    <sheet name="6" sheetId="3" r:id="rId6"/>
    <sheet name="7" sheetId="28" r:id="rId7"/>
    <sheet name="8" sheetId="8" r:id="rId8"/>
    <sheet name="9" sheetId="11" r:id="rId9"/>
    <sheet name="10" sheetId="9" r:id="rId10"/>
    <sheet name="11" sheetId="10" r:id="rId11"/>
    <sheet name="12" sheetId="29" r:id="rId12"/>
    <sheet name="13" sheetId="12" r:id="rId13"/>
    <sheet name="14" sheetId="13" r:id="rId14"/>
    <sheet name="15" sheetId="30" r:id="rId15"/>
    <sheet name="16" sheetId="31" r:id="rId16"/>
    <sheet name="17" sheetId="14" r:id="rId17"/>
    <sheet name="18" sheetId="19" r:id="rId18"/>
    <sheet name="19" sheetId="21" r:id="rId19"/>
    <sheet name="20" sheetId="15" r:id="rId20"/>
    <sheet name="21" sheetId="17" r:id="rId21"/>
    <sheet name="22" sheetId="32" r:id="rId22"/>
    <sheet name="23" sheetId="16" r:id="rId23"/>
    <sheet name="24" sheetId="18" r:id="rId24"/>
    <sheet name="25" sheetId="22" r:id="rId25"/>
    <sheet name="26" sheetId="23" r:id="rId26"/>
    <sheet name="27" sheetId="24" r:id="rId27"/>
    <sheet name="28" sheetId="25" r:id="rId28"/>
    <sheet name="Для разработки" sheetId="26" state="hidden" r:id="rId29"/>
  </sheets>
  <calcPr calcId="144525"/>
</workbook>
</file>

<file path=xl/calcChain.xml><?xml version="1.0" encoding="utf-8"?>
<calcChain xmlns="http://schemas.openxmlformats.org/spreadsheetml/2006/main">
  <c r="A6" i="29" l="1"/>
  <c r="A7" i="29" s="1"/>
  <c r="A8" i="29" s="1"/>
  <c r="A9" i="29" s="1"/>
  <c r="A10" i="29" s="1"/>
  <c r="A6" i="11"/>
  <c r="A7" i="11" s="1"/>
  <c r="A8" i="11" s="1"/>
  <c r="A9" i="11" s="1"/>
  <c r="A10" i="11" s="1"/>
  <c r="A6" i="9" l="1"/>
  <c r="A7" i="9" s="1"/>
  <c r="A8" i="9" s="1"/>
  <c r="A9" i="9" s="1"/>
  <c r="A10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17" i="15"/>
  <c r="A19" i="15"/>
  <c r="L12" i="6" l="1"/>
  <c r="I20" i="6"/>
  <c r="I19" i="6"/>
  <c r="I18" i="6"/>
  <c r="I17" i="6"/>
  <c r="I15" i="6"/>
  <c r="I14" i="6"/>
  <c r="I13" i="6"/>
  <c r="I16" i="6" l="1"/>
  <c r="A24" i="15"/>
  <c r="A23" i="15"/>
  <c r="A22" i="15"/>
  <c r="A21" i="15"/>
  <c r="A20" i="15"/>
  <c r="A18" i="15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6" i="32"/>
  <c r="A5" i="32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E30" i="16" l="1"/>
  <c r="E31" i="16"/>
  <c r="E32" i="16"/>
  <c r="D29" i="16"/>
  <c r="C29" i="16"/>
  <c r="B29" i="16"/>
  <c r="A13" i="31" l="1"/>
  <c r="A12" i="31"/>
  <c r="A11" i="31"/>
  <c r="A10" i="31"/>
  <c r="A9" i="31"/>
  <c r="A8" i="31"/>
  <c r="A7" i="31"/>
  <c r="A6" i="31"/>
  <c r="A5" i="31"/>
  <c r="A4" i="31"/>
  <c r="A14" i="30" l="1"/>
  <c r="A13" i="30"/>
  <c r="A12" i="30"/>
  <c r="A11" i="30"/>
  <c r="A10" i="30"/>
  <c r="A9" i="30"/>
  <c r="A8" i="30"/>
  <c r="A7" i="30"/>
  <c r="A6" i="30"/>
  <c r="A5" i="30"/>
  <c r="A13" i="13"/>
  <c r="A12" i="13"/>
  <c r="A11" i="13"/>
  <c r="A10" i="13"/>
  <c r="A9" i="13"/>
  <c r="A8" i="13"/>
  <c r="A7" i="13"/>
  <c r="A6" i="13"/>
  <c r="A5" i="13"/>
  <c r="A4" i="13"/>
  <c r="A6" i="12" l="1"/>
  <c r="A7" i="12" s="1"/>
  <c r="A8" i="12" s="1"/>
  <c r="A9" i="12" s="1"/>
  <c r="A10" i="12" s="1"/>
  <c r="A11" i="12" s="1"/>
  <c r="A12" i="12" s="1"/>
  <c r="A13" i="12" s="1"/>
  <c r="A14" i="12" s="1"/>
  <c r="A15" i="12" s="1"/>
  <c r="B10" i="3" l="1"/>
  <c r="E7" i="3"/>
  <c r="C48" i="27" l="1"/>
  <c r="C49" i="27"/>
  <c r="C50" i="27"/>
  <c r="J47" i="27"/>
  <c r="C47" i="27" s="1"/>
  <c r="N47" i="27"/>
  <c r="M47" i="27"/>
  <c r="L47" i="27"/>
  <c r="K47" i="27"/>
  <c r="D47" i="27"/>
  <c r="C55" i="1"/>
  <c r="C54" i="1"/>
  <c r="C53" i="1"/>
  <c r="N52" i="1"/>
  <c r="M52" i="1"/>
  <c r="L52" i="1"/>
  <c r="K52" i="1"/>
  <c r="D52" i="1"/>
  <c r="A7" i="28" l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C7" i="27" l="1"/>
  <c r="C10" i="27"/>
  <c r="C11" i="27"/>
  <c r="C12" i="27"/>
  <c r="C13" i="27"/>
  <c r="C14" i="27"/>
  <c r="C15" i="27"/>
  <c r="C9" i="27"/>
  <c r="C18" i="27"/>
  <c r="C19" i="27"/>
  <c r="C20" i="27"/>
  <c r="C21" i="27"/>
  <c r="C22" i="27"/>
  <c r="C23" i="27"/>
  <c r="C24" i="27"/>
  <c r="C25" i="27"/>
  <c r="C26" i="27"/>
  <c r="C17" i="27"/>
  <c r="C46" i="27"/>
  <c r="C45" i="27"/>
  <c r="C44" i="27"/>
  <c r="C43" i="27"/>
  <c r="D32" i="27"/>
  <c r="C33" i="27"/>
  <c r="C34" i="27"/>
  <c r="C28" i="27"/>
  <c r="C29" i="27"/>
  <c r="C30" i="27"/>
  <c r="C31" i="27"/>
  <c r="C35" i="27"/>
  <c r="C36" i="27"/>
  <c r="C37" i="27"/>
  <c r="C38" i="27"/>
  <c r="C39" i="27"/>
  <c r="C40" i="27"/>
  <c r="C41" i="27"/>
  <c r="C42" i="27"/>
  <c r="C32" i="27" l="1"/>
  <c r="C41" i="1"/>
  <c r="C42" i="1"/>
  <c r="C43" i="1"/>
  <c r="C44" i="1"/>
  <c r="C45" i="1"/>
  <c r="C46" i="1"/>
  <c r="C47" i="1"/>
  <c r="C40" i="1"/>
  <c r="C34" i="1"/>
  <c r="C35" i="1"/>
  <c r="C36" i="1"/>
  <c r="C33" i="1"/>
  <c r="C23" i="1"/>
  <c r="C24" i="1"/>
  <c r="C25" i="1"/>
  <c r="C26" i="1"/>
  <c r="C27" i="1"/>
  <c r="C28" i="1"/>
  <c r="C29" i="1"/>
  <c r="C30" i="1"/>
  <c r="C31" i="1"/>
  <c r="C22" i="1"/>
  <c r="C15" i="1"/>
  <c r="C16" i="1"/>
  <c r="C17" i="1"/>
  <c r="C18" i="1"/>
  <c r="C19" i="1"/>
  <c r="C20" i="1"/>
  <c r="C14" i="1"/>
  <c r="C12" i="1"/>
  <c r="C49" i="1"/>
  <c r="C50" i="1"/>
  <c r="C51" i="1"/>
  <c r="C52" i="1"/>
  <c r="C48" i="1"/>
  <c r="C39" i="1"/>
  <c r="C38" i="1"/>
  <c r="D37" i="1"/>
  <c r="N32" i="27"/>
  <c r="M32" i="27"/>
  <c r="L32" i="27"/>
  <c r="K32" i="27"/>
  <c r="J32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N8" i="27"/>
  <c r="M8" i="27"/>
  <c r="L8" i="27"/>
  <c r="K8" i="27"/>
  <c r="J8" i="27"/>
  <c r="I8" i="27"/>
  <c r="I51" i="27" s="1"/>
  <c r="H8" i="27"/>
  <c r="G8" i="27"/>
  <c r="G51" i="27" s="1"/>
  <c r="B4" i="3" s="1"/>
  <c r="F8" i="27"/>
  <c r="E8" i="27"/>
  <c r="E51" i="27" s="1"/>
  <c r="D8" i="27"/>
  <c r="C8" i="27"/>
  <c r="H51" i="27" l="1"/>
  <c r="C51" i="27"/>
  <c r="J51" i="27"/>
  <c r="N51" i="27"/>
  <c r="M51" i="27"/>
  <c r="C4" i="3" s="1"/>
  <c r="C10" i="3" s="1"/>
  <c r="L51" i="27"/>
  <c r="D51" i="27"/>
  <c r="K51" i="27"/>
  <c r="F51" i="27"/>
  <c r="C37" i="1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12" i="7"/>
  <c r="D4" i="3" l="1"/>
  <c r="C58" i="27"/>
  <c r="G58" i="27" s="1"/>
  <c r="K58" i="27" s="1"/>
  <c r="K22" i="6"/>
  <c r="I23" i="5"/>
  <c r="G23" i="5"/>
  <c r="D23" i="5"/>
  <c r="A7" i="7" s="1"/>
  <c r="E4" i="3" l="1"/>
  <c r="E10" i="3" s="1"/>
  <c r="D10" i="3"/>
  <c r="K23" i="6"/>
  <c r="L15" i="6"/>
  <c r="H15" i="6" s="1"/>
  <c r="F13" i="1" l="1"/>
  <c r="N11" i="6" l="1"/>
  <c r="M11" i="6"/>
  <c r="M7" i="6" s="1"/>
  <c r="J11" i="6"/>
  <c r="J7" i="6" s="1"/>
  <c r="I7" i="6" s="1"/>
  <c r="I9" i="6"/>
  <c r="J8" i="6"/>
  <c r="I10" i="6"/>
  <c r="L10" i="6"/>
  <c r="H10" i="6" s="1"/>
  <c r="L9" i="6"/>
  <c r="H9" i="6" s="1"/>
  <c r="M8" i="6"/>
  <c r="N8" i="6"/>
  <c r="N7" i="6" s="1"/>
  <c r="L8" i="6" l="1"/>
  <c r="H8" i="6" s="1"/>
  <c r="L7" i="6"/>
  <c r="H7" i="6" s="1"/>
  <c r="A7" i="23"/>
  <c r="A23" i="24" l="1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6" i="23"/>
  <c r="A5" i="23"/>
  <c r="A4" i="23"/>
  <c r="A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27" i="21" l="1"/>
  <c r="A28" i="21" s="1"/>
  <c r="A29" i="21" s="1"/>
  <c r="A30" i="21" s="1"/>
  <c r="A31" i="21" s="1"/>
  <c r="A32" i="21" s="1"/>
  <c r="A33" i="21" s="1"/>
  <c r="A13" i="7"/>
  <c r="F7" i="19" l="1"/>
  <c r="G7" i="19"/>
  <c r="E6" i="19"/>
  <c r="E7" i="19" l="1"/>
  <c r="E28" i="16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9" i="16"/>
  <c r="E5" i="16"/>
  <c r="C33" i="16" l="1"/>
  <c r="D33" i="16"/>
  <c r="B33" i="16"/>
  <c r="E33" i="16" l="1"/>
  <c r="D15" i="12"/>
  <c r="D14" i="12"/>
  <c r="D13" i="12"/>
  <c r="D12" i="12"/>
  <c r="D11" i="12"/>
  <c r="D10" i="12"/>
  <c r="D9" i="12"/>
  <c r="D8" i="12"/>
  <c r="D7" i="12"/>
  <c r="D6" i="12"/>
  <c r="A6" i="10" l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14" i="7" l="1"/>
  <c r="A15" i="7" s="1"/>
  <c r="A16" i="7" s="1"/>
  <c r="A17" i="7" s="1"/>
  <c r="A18" i="7" s="1"/>
  <c r="A19" i="7" s="1"/>
  <c r="A20" i="7" s="1"/>
  <c r="A21" i="7" s="1"/>
  <c r="L18" i="6" l="1"/>
  <c r="L19" i="6"/>
  <c r="H19" i="6" s="1"/>
  <c r="L20" i="6"/>
  <c r="H20" i="6" s="1"/>
  <c r="L17" i="6"/>
  <c r="H17" i="6" s="1"/>
  <c r="L14" i="6"/>
  <c r="H14" i="6" s="1"/>
  <c r="J16" i="6"/>
  <c r="M16" i="6"/>
  <c r="N16" i="6"/>
  <c r="L16" i="6" l="1"/>
  <c r="L11" i="6"/>
  <c r="H12" i="6"/>
  <c r="H18" i="6"/>
  <c r="H16" i="6" s="1"/>
  <c r="H13" i="6"/>
  <c r="I11" i="6"/>
  <c r="H11" i="6" l="1"/>
  <c r="K37" i="1"/>
  <c r="L37" i="1"/>
  <c r="M37" i="1"/>
  <c r="N37" i="1"/>
  <c r="D32" i="1"/>
  <c r="E32" i="1"/>
  <c r="F32" i="1"/>
  <c r="G32" i="1"/>
  <c r="H32" i="1"/>
  <c r="I32" i="1"/>
  <c r="J32" i="1"/>
  <c r="K32" i="1"/>
  <c r="L32" i="1"/>
  <c r="M32" i="1"/>
  <c r="N32" i="1"/>
  <c r="D21" i="1"/>
  <c r="E21" i="1"/>
  <c r="F21" i="1"/>
  <c r="G21" i="1"/>
  <c r="H21" i="1"/>
  <c r="I21" i="1"/>
  <c r="J21" i="1"/>
  <c r="K21" i="1"/>
  <c r="L21" i="1"/>
  <c r="M21" i="1"/>
  <c r="N21" i="1"/>
  <c r="D13" i="1"/>
  <c r="D56" i="1" s="1"/>
  <c r="E13" i="1"/>
  <c r="G13" i="1"/>
  <c r="H13" i="1"/>
  <c r="I13" i="1"/>
  <c r="J13" i="1"/>
  <c r="K13" i="1"/>
  <c r="L13" i="1"/>
  <c r="M13" i="1"/>
  <c r="N13" i="1"/>
  <c r="C13" i="1"/>
  <c r="C21" i="1"/>
  <c r="C32" i="1"/>
  <c r="K56" i="1" l="1"/>
  <c r="E6" i="5" s="1"/>
  <c r="M56" i="1"/>
  <c r="I56" i="1"/>
  <c r="G56" i="1"/>
  <c r="E56" i="1"/>
  <c r="E5" i="5" s="1"/>
  <c r="N56" i="1"/>
  <c r="L56" i="1"/>
  <c r="M21" i="6" s="1"/>
  <c r="J56" i="1"/>
  <c r="H56" i="1"/>
  <c r="F56" i="1"/>
  <c r="C56" i="1"/>
  <c r="M22" i="6" l="1"/>
  <c r="N21" i="6"/>
  <c r="N22" i="6" s="1"/>
  <c r="N23" i="6" s="1"/>
  <c r="J21" i="6"/>
  <c r="J22" i="6" s="1"/>
  <c r="K21" i="6"/>
  <c r="C57" i="27"/>
  <c r="G57" i="27" s="1"/>
  <c r="K57" i="27" s="1"/>
  <c r="L21" i="6" l="1"/>
  <c r="M23" i="6"/>
  <c r="L22" i="6"/>
  <c r="L23" i="6" s="1"/>
  <c r="I21" i="6"/>
  <c r="J23" i="6"/>
  <c r="I22" i="6"/>
  <c r="H21" i="6" l="1"/>
  <c r="H22" i="6"/>
  <c r="H23" i="6" s="1"/>
  <c r="I23" i="6"/>
</calcChain>
</file>

<file path=xl/comments1.xml><?xml version="1.0" encoding="utf-8"?>
<comments xmlns="http://schemas.openxmlformats.org/spreadsheetml/2006/main">
  <authors>
    <author>Илья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Полное наименование учреждения.</t>
        </r>
      </text>
    </comment>
  </commentList>
</comments>
</file>

<file path=xl/comments10.xml><?xml version="1.0" encoding="utf-8"?>
<comments xmlns="http://schemas.openxmlformats.org/spreadsheetml/2006/main">
  <authors>
    <author>Илья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Указать только методистов (не преподавателей и концертмейстеров) на момент заполнения. Аналогично предыдущим таблицам.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Если методист является штатным согласно своей должности, то выделите ячейку с ФИО зелёным цветом, внешним совместителем - любым другим цветом (кроме белого).
При необходимости отсортировать методистов по фамилии / дате рождения / возрасту / стажу / дате начала работы в учреждении / категории - позвоните, или напишите в следующей ячейке за списком. Потом верну аналитику с отсортированным списком методистов.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Дата рождения в формате "день.месяц.год".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Педагогический стаж работы указывается в формате количества лет. Если стаж 2 года - указывается число 2, если стаж работы 3 года 6 месяцев - указывается число 3,5.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Не обязательно в данной должности. Указывается дата в формате "день.месяц.год".</t>
        </r>
      </text>
    </comment>
  </commentList>
</comments>
</file>

<file path=xl/comments11.xml><?xml version="1.0" encoding="utf-8"?>
<comments xmlns="http://schemas.openxmlformats.org/spreadsheetml/2006/main">
  <authors>
    <author>Илья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Указать только молодых специалистов (преподавателей и концертмейстеров) в возрасте до 30 лет, имеющих педагогический стаж работы менее трёх лет на момент заполнения.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Дата рождения в формате "день.месяц.год".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дата в формате "день.месяц.год".</t>
        </r>
      </text>
    </comment>
  </commentList>
</comments>
</file>

<file path=xl/comments12.xml><?xml version="1.0" encoding="utf-8"?>
<comments xmlns="http://schemas.openxmlformats.org/spreadsheetml/2006/main">
  <authors>
    <author>Илья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т.ч. персональные выставки вне рамок учреждения.</t>
        </r>
      </text>
    </comment>
  </commentList>
</comments>
</file>

<file path=xl/comments13.xml><?xml version="1.0" encoding="utf-8"?>
<comments xmlns="http://schemas.openxmlformats.org/spreadsheetml/2006/main">
  <authors>
    <author>Илья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Если преподаватель готовит обучающегося к выступлению на мастер-классе, семинаре или конференции, то он (преподаватель) принимает активное участие.</t>
        </r>
      </text>
    </comment>
  </commentList>
</comments>
</file>

<file path=xl/comments14.xml><?xml version="1.0" encoding="utf-8"?>
<comments xmlns="http://schemas.openxmlformats.org/spreadsheetml/2006/main">
  <authors>
    <author>Илья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количество всех преподавателей, в т.ч. по общеобразовательным дисциплинам, внешних и внутренних совместителей.</t>
        </r>
      </text>
    </comment>
  </commentList>
</comments>
</file>

<file path=xl/comments15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количество зданий (строений), в которых непосредственно осуществляется образовательная деятельность, принадлежащих организации на праве собственности, оперативного управления, других вещных правах, либо эксплуатируемых ею на правах аренды.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графах 2 - 4 (из графы 1) указывается число зданий с наличием безбарьерной среды для лиц с нарушениями: зрения (графа 2), слуха (графа 3), опорно-двигательного аппарата (графа 4). Данные вносятся в соответствии с пунктом 41 Перечня национальных стандартов и сводов правил (частей таких стандартов и сводов правил), в результате применения которых на обязательной основе обеспечивается соблюдение требований Федерального закона "Технический регламент о безопасности зданий и сооружений", утверждённого постановлением Правительства Российской Федерации от 26.12.2014 № 1521, а также при наличии ассистивных средств с учётом разумного приспособления, если объект невозможно приспособить полностью.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число зданий (строений) (из графы 1), относящихся к объектам культурного наследия федерального (графа 5) и регионального (графа 6) значений.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число зданий (строений) (из графы 1), требующих капитального ремонта (графа 7) или находящихся в аварийном состоянии (графа 8), на основании акта (заключения) или составленного в установленном порядке другого документа и характеризующего техническое состояние помещений.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число всех учебных комнат школы, использыемых в образовательном процессе.</t>
        </r>
      </text>
    </commen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количество помещений (зданий), находящихся в оперативном управлении или по договору безвозмездного пользования.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количество помещений (зданий), используемых организацией по договору аренды.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количество помещений (зданий), используемых на других правовых основаниях (собственность, право хозяйственного ведения).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суммарная площадь всех занимаемых школой помещений, включая помещения, используемые на правах аренды.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площадь используемых школой учебных помещений.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графе приводятся данные об оснащённости организации современным материально-техническим оборудованием. В соответствии с Методикой расчёта целевых индикаторов и показателей федеральной целевой программы "Культура России (2012-2018 годы)", утверждённой постановлением Правительства Российской Федерации от 03.03.2012 № 186, "оснащённость современным материально-техническим оборудованием предполагает, что более 50 процентов используемого электронного и технического оборудования имеет возраст до 5 лет". В случае наличия такого оборудования (в том числе компьютерных систем, интерактивных досок, музыкальных инструментов, пюпитров, мольбертов, станков, зеркал, светотехнического оборудования, звукотехнического оборудования) в графу проставляется значение 1, в противном случае - 0.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Наличие театрально-концертного зала с роялем (роялями) или пианино, пультами, светотехническим и звукотехническим оборудованием и/или выставочного зала.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Наличие в образовательной организации библиотеки как отдельного помещения с ответственным уполномоченным лицом, которому выделяется ставка.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Наличие в образовательной организации компьютерного класса.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Наличие в образовательной организации помещений для работы со специализированными материалами, таких как фонотека, видеотека, фильмотека.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Наличие в образовательной организации мастерской (в случае реализации образовательных программ в области изобразительного, декоративно-прикладного искусства), балетного класса, костюмерной, раздевалки (в случае реализации образовательных программ в области хореографического, театрального, циркового искусства).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число специализированного оборудования для инвалидов (колясок, скалоходов и тому подобное).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число компьютеров, используемых в своей финансово-хозяйственной, административно-управленческой и иной деятельности. В случае использования персонального компьютера для осуществления нескольких различных направлений финансово-хозяйственной деятельности, при заполнении формы он учитывается как один.</t>
        </r>
      </text>
    </comment>
  </commentList>
</comments>
</file>

<file path=xl/comments16.xml><?xml version="1.0" encoding="utf-8"?>
<comments xmlns="http://schemas.openxmlformats.org/spreadsheetml/2006/main">
  <authors>
    <author>Илья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Спонсорские и т.д.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Спонсорские и т.д.</t>
        </r>
      </text>
    </comment>
  </commentList>
</comments>
</file>

<file path=xl/comments17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информация о возможности использования Интернета при осуществлении различных видов своей финансово-хозяйственной деятельности (как основных видов уставной, так и административно-управленческой деятельности).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информация о возможности посетителей получить доступ к Интернету в помещениях организации (так называемый Wi-Fi - роутер).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Публикацией является новостное событие, выложенное на главной странице сайта. Это может быть афиша мероприятия, его отчёт, информация о наборе первоклассников и т.д.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Публикацией является новостное событие, выложенное на главной странице сайта. Это может быть афиша мероприятия, его отчёт, информация о наборе первоклассников и т.д.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Проще всего посмотреть, если установлена Яндекс.Метрика. Выбираете указанный период, выводится вся информация, в том числе количество посетителей, просмотров, среднее время на сайте и т.д.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Проще всего посмотреть, если установлена Яндекс.Метрика. Выбираете указанный период, выводится вся информация, в том числе количество посетителей, просмотров, среднее время на сайте и т.д.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Общее количество публикаций по состоянию на 31 декабря.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Общее количество публикаций по состоянию на 31 мая.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Общее количество подписчиков по состоянию на 31 декабря.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Общее количество подписчиков по состоянию на 31 мая.</t>
        </r>
      </text>
    </comment>
  </commentList>
</comments>
</file>

<file path=xl/comments18.xml><?xml version="1.0" encoding="utf-8"?>
<comments xmlns="http://schemas.openxmlformats.org/spreadsheetml/2006/main">
  <authors>
    <author>Илья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Под публикациями можно понимать анонсы мероприятий, информацию об итогах, победителях, ключевых моментах. За отчётный учебный год.</t>
        </r>
      </text>
    </comment>
  </commentList>
</comments>
</file>

<file path=xl/comments19.xml><?xml version="1.0" encoding="utf-8"?>
<comments xmlns="http://schemas.openxmlformats.org/spreadsheetml/2006/main">
  <authors>
    <author>Илья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За отчётный учебный год.</t>
        </r>
      </text>
    </comment>
  </commentList>
</comments>
</file>

<file path=xl/comments2.xml><?xml version="1.0" encoding="utf-8"?>
<comments xmlns="http://schemas.openxmlformats.org/spreadsheetml/2006/main">
  <authors>
    <author>Илья</author>
  </authors>
  <commentList>
    <comment ref="A5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Данная таблица не заполняется. Она считывает всё автоматически.</t>
        </r>
      </text>
    </comment>
  </commentList>
</comments>
</file>

<file path=xl/comments20.xml><?xml version="1.0" encoding="utf-8"?>
<comments xmlns="http://schemas.openxmlformats.org/spreadsheetml/2006/main">
  <authors>
    <author>Илья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За отчётный учебный год.</t>
        </r>
      </text>
    </comment>
  </commentList>
</comments>
</file>

<file path=xl/comments3.xml><?xml version="1.0" encoding="utf-8"?>
<comments xmlns="http://schemas.openxmlformats.org/spreadsheetml/2006/main">
  <authors>
    <author>Илья</author>
    <author>Автор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подразделе приводятся сведения о прибытии и выбытии обучающихся за период с 1 октября предыдущего года по 1 июня текущего года. Обратите внимание, что в форме № 1-ДШИ сведения необходимо предоставить с 1 октября по 30 сентября.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строке показывается численность обучающихся, прибывших в образовательную организацию за отчётный период. В численность прибывших обучающихся не включаются показатели приёма, учитываемые в графах 3, 7 и 11 подраздела 1.1.
В численность обучающихся, прибывших в образовательную организацию, включаются: обучающиеся, переведённые с других форм обучения данной образовательной организации (строки 02, 05) и из других образовательных организаций (строка 08) с программ того же уровня, а также обучающиеся, которую поступили в первый класс уже после 1 октября (строка 09). Строка 01 равна сумме строк 02, 05, 08, 09.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строке указывается численность обучающихся, выбывших из образовательной организации, предоставляющей статистическую отчётность, до завершения обучения. В численность выбывших обучающихся не включаются показатели выпуска, учитываемые в графах 6, 10 и 14 подраздела 1.1.
В численность обучающихся, выбывших из данной образовательной организации, включаются: обучающиеся, переведённые в другие образовательные организации на обучение по программам того же уровня (строка 11); лица, выбывшие из образовательной организации до её окончания по состоянию здоровья (строка 12); бросившие учёбу (строка 13); выбывшие по другим причинам, не указанным в строках 11-13 (строка 14). Строка 10 равна сумме строк 11-14.</t>
        </r>
      </text>
    </comment>
    <comment ref="A21" authorId="1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приводятся согласно форме 1-ДШИ за 2019 год.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Данная строка не заполняется. Она дана для самопроверки. Численность обучающихся, которая получается с учётом прибывших / переведённых / выбывших в течение учебного года, должна быть равна количеству обучающихся, которую указываете в подразделе 1.2.</t>
        </r>
      </text>
    </comment>
  </commentList>
</comments>
</file>

<file path=xl/comments4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таблице приводятся общие сведения о реализуемых школой образовательных программах по состоянию на 1 октября отчётного учебного года.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графе указывается общее число реализуемых в школе программ по видам.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Сетевая форма реализации образовательных программ обеспечивает возможность освоения обучающимся образовательной программы с использованием ресурсов нескольких организаций, осуществляющих образовательную деятельность, в том числе иностранных, а также при необходимости с использованием ресурсов иных организаций. В реализации образовательных программ с использованием сетевой формы наряду с организациями, осуществляющими образовательную деятельность, также могут участвовать научные организации, медицинские организации, организации культуры, физкультурно-спортивные и иные организации, обладающие ресурсами, необходимыми для осуществления обучения, проведения учебной и производственной практики и осуществления иных видов учебной деятельности, предусмотренных соответствующей образовательной программой (п.1 ст.15 ФЗ от 29.12.2012 № 273-ФЗ "Об образовании в Российской Федерации").
Использование сетевой формы реализации образовательных программ осуществляется на основании договора между организациями.</t>
        </r>
      </text>
    </commen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Дополнительные предпрофессиональные программы в области искусств реализуются в целях выявления одарённых детей в раннем возрасте, создания условия для их художественного образования и эстетического воспитания,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 (п.3 ст.83 ФЗ от 29.12.2012 № 273-ФЗ "Об образовании в Российской Федерации").</t>
        </r>
      </text>
    </commen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Дополнительные общеразвивающие программы реализуются в целях создания базовых основ образованности и решения задач формирования общей культуры учащегося, расширение его знаний о мире и о себе; удовлетворения познавательного интереса и расширение информированности учащихся в конкретной образовательной области; оптимального развития личности на основе педагогической поддержки индивидуальности учащегося в условиях специально организованной образовательной деятельности; накопления учащимися социального опыта и обогащения навыками общения и совместной деятельности в процессе освоения программы.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таблице указывается количество обучающихся в образовательном учреждении лиц с ОВЗ / инвалидов с разбивкой по категориям лиц с ОВЗ / инвалидов. При этом учитываются все лица с ОВЗ и инвалиды, обучающиеся в ДШИ как по адаптированным образовательным программам, так и по дополнительным предпрофессиональным и дополнительным общеразвивающим программам в области искусств. Сведения предоставляются по состоянию на 1 октября текущего учебного года и должны равняться предоставленным сведениям по форме 1-ДШИ.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общее количество обучающихся детей-инвалидов и лиц с ОВЗ.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Обучающийся с ограниченными возможностями здоровья - физическое лицо, имеющее недостатки в физическом и (или) психологическом развитии, подтверждённые психолого-медико-педагогической комиссией и препятствующие получению образования без создания специальных условий (п.16 ст.2 ФЗ от 29.12.2012 № 273-ФЗ "Об образовании в Российской Федерации"). Обучающиеся с ОВЗ могут являться или не являться инвалидами. Обращаем внимание, что в численность обучающихся с ОВЗ следует включать только тех обучающихся, которые имеют соответствующее заключение психолого-медико-педагогической комиссии.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Инвалид - лицо, которое имеет нарушение здоровья со стойким расстройством функций организма, обусловленное заболеваниями, последствиями травм или дефектами, приводящее к ограничению жизнедеятельности и вызывающее необходимость его социальной защиты (ст.1 ФЗ от 24.11.1995 № 181-ФЗ "О социальной защите инвалидов в Российской Федерации").</t>
        </r>
      </text>
    </comment>
  </commentList>
</comments>
</file>

<file path=xl/comments5.xml><?xml version="1.0" encoding="utf-8"?>
<comments xmlns="http://schemas.openxmlformats.org/spreadsheetml/2006/main">
  <authors>
    <author>Илья</author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графе указывается общее количество адаптированных образовательных программ (в соответствии с ФЗ № 273-ФЗ от 29.12.2012 "Об образовании в Российской Федерации") в ДШИ без разбивки по категориям лиц с ОВЗ / инвалидов.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графе предоставляется информация о реализуемых ДШИ адаптированных  образовательных программах (в случае их наличия) без разбивки по категориям лиц с ОВЗ / инвалидов.</t>
        </r>
      </text>
    </comment>
    <comment ref="D3" authorId="1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графах 4-7 указывается количество и доля преподавателей (процент от общего количества преподавателей ДШИ), прошедших обучение по программам повышения квалификации или переподготовки направленным на работу с инвалидами и лицами с ОВЗ без разбивки по категориям лиц с ОВЗ / инвалидов. В графах 4 и 6 отчётным периодом является отчётный учебный год, а в графах 5 и 7 - последние 3 года (графа 5 - количество преподавателей на настоящий момент, работающих в ДШИ, прошедших обучение по программам повышения квалификации или переподготовки направленным на работу с инвалидами и лицами с ОВЗ, графа 7 - столько же преподавателей, что и в графе 6, но, соответственно, будет другой %).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графе указывается наличие учебно-методической литературы для слепых и слабовидящих, в том числе выполненной рельефно-точечным шрифтом Брайля.</t>
        </r>
      </text>
    </comment>
  </commentList>
</comments>
</file>

<file path=xl/comments6.xml><?xml version="1.0" encoding="utf-8"?>
<comments xmlns="http://schemas.openxmlformats.org/spreadsheetml/2006/main">
  <authors>
    <author>Илья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Данная графа необходима для расчёта сохранности контингента согласно "Дорожной карте". Здесь указываются все обучающиеся, поступавшие по той или иной программе за период, соответствующий сроку освоения программы (например, 5 лет), которые должны были выпуститься по итогам 2019-2020 учебного года.
Пример: в 2015 году поступило 15 человек на программу, срок обучения которой 5 лет. Из них в 2020 году выпускается 8. В период обучения с 2015 по 2020 к этим 15 обучающимся перевелось ещё 3 человека, которые выпустились в 2020 году вместе с остальными. Указываете 18.</t>
        </r>
      </text>
    </comment>
  </commentList>
</comments>
</file>

<file path=xl/comments7.xml><?xml version="1.0" encoding="utf-8"?>
<comments xmlns="http://schemas.openxmlformats.org/spreadsheetml/2006/main">
  <authors>
    <author>Илья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Указать только руководителей и их заместителей на момент заполнения.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Дата рождения в формате "день.месяц.год".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Стаж работы указывается в формате количества лет. Если стаж 2 года - указывается число 2, если стаж работы 3 года 6 месяцев - указывается число 3,5.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Не обязательно в данной должности. Указывается дата в формате "день.месяц.год".</t>
        </r>
      </text>
    </comment>
  </commentList>
</comments>
</file>

<file path=xl/comments8.xml><?xml version="1.0" encoding="utf-8"?>
<comments xmlns="http://schemas.openxmlformats.org/spreadsheetml/2006/main">
  <authors>
    <author>Илья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Указать только преподавателей (не методистов и концертмейстеров), работающих на условиях полной и частичной занятости, включая работающих на условиях внешнего совместительства на момент заполнения. Если преподаватель обучает по нескольким предметам, то в графе "Преподаваемый предмет / дисциплина" через точку с запятой перечислить предметы, которые он преподаёт, вначале указав основной предмет. Если преподаватель одновременно является концертмейстером, то в данной таблице указать его здесь как преподавателя, в следующей - как концертмейстера. Если директор или заместитель директора преподаёт предмет, то указать его в данной таблице как преподавателя.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Если преподаватель больше не работает, то выделите ячейку с ФИО красным цветом, если преподаватель является штатным согласно своей должности, то зелёным, внешних совместителей - любым другим цветом (кроме белого).
Новых преподавателей допишите в конце списка.
При необходимости отсортировать преподавателей по фамилии / дате рождения / возрасту / стажу / дате начала работы в учреждении / категории - позвоните, или напишите в следующей ячейке за списком. Потом верну аналитику с отсортированным списком преподавателей.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Дата рождения в формате "день.месяц.год".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Педагогический стаж работы указывается в формате количества лет. Если стаж 2 года - указывается число 2, если стаж работы 3 года 6 месяцев - указывается число 3,5.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Не обязательно в данной должности. Указывается дата в формате "день.месяц.год".</t>
        </r>
      </text>
    </comment>
  </commentList>
</comments>
</file>

<file path=xl/comments9.xml><?xml version="1.0" encoding="utf-8"?>
<comments xmlns="http://schemas.openxmlformats.org/spreadsheetml/2006/main">
  <authors>
    <author>Илья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Указать только концертмейстеров (не методистов и преподавателей) на момент заполнения. Аналогично с предыдущей таблицей.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Если концертмейстер больше не работает, то выделите ячейку с ФИО красным цветом, если концертмейстер является штатным согласно своей должности, то зелёным, внешних совместителей - любым другим цветом (кроме белого).
Новых концертмейстеров допишите в конце списка.
При необходимости отсортировать концертмейстеров по фамилии / дате рождения / возрасту / стажу / дате начала работы в учреждении / категории - позвоните, или напишите в следующей ячейке за списком. Потом верну аналитику с отсортированным списком концертмейстеров.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Дата рождения в формате "день.месяц.год".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Педагогический стаж работы указывается в формате количества лет. Если стаж 2 года - указывается число 2, если стаж работы 3 года 6 месяцев - указывается число 3,5.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Не обязательно в данной должности. Указывается дата в формате "день.месяц.год".</t>
        </r>
      </text>
    </comment>
  </commentList>
</comments>
</file>

<file path=xl/sharedStrings.xml><?xml version="1.0" encoding="utf-8"?>
<sst xmlns="http://schemas.openxmlformats.org/spreadsheetml/2006/main" count="1064" uniqueCount="565">
  <si>
    <t>Полное наименование образовательного учреждения согласно Уставу:</t>
  </si>
  <si>
    <t>Наименование образовательной программы</t>
  </si>
  <si>
    <t>№ строки</t>
  </si>
  <si>
    <t>Фортепиано</t>
  </si>
  <si>
    <t>Народные инструменты</t>
  </si>
  <si>
    <t>Духовые и ударные инструменты</t>
  </si>
  <si>
    <t>Струнно-смычковые инструменты</t>
  </si>
  <si>
    <t>Электронные инструменты</t>
  </si>
  <si>
    <t>Инструменты эстрадного оркестра</t>
  </si>
  <si>
    <t>Хоровое пение</t>
  </si>
  <si>
    <t>Музыкальный фольклор</t>
  </si>
  <si>
    <t>Живопись</t>
  </si>
  <si>
    <t>Дизайн</t>
  </si>
  <si>
    <t>Хореографическое творчество</t>
  </si>
  <si>
    <t>Искусство театра</t>
  </si>
  <si>
    <t>Эстрадно-джазовое пение</t>
  </si>
  <si>
    <t>Сольное академическое пение</t>
  </si>
  <si>
    <t>Сольное народное пение</t>
  </si>
  <si>
    <t>Фотоискусство</t>
  </si>
  <si>
    <t>Всего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</si>
  <si>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</si>
  <si>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</si>
  <si>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</si>
  <si>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</si>
  <si>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</si>
  <si>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</si>
  <si>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</si>
  <si>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</si>
  <si>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</si>
  <si>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</si>
  <si>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</si>
  <si>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</si>
  <si>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</si>
  <si>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</si>
  <si>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</si>
  <si>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</si>
  <si>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</si>
  <si>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</si>
  <si>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</si>
  <si>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</si>
  <si>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</si>
  <si>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</si>
  <si>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</si>
  <si>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</si>
  <si>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</si>
  <si>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</si>
  <si>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</si>
  <si>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</si>
  <si>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</si>
  <si>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</si>
  <si>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</si>
  <si>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</si>
  <si>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</si>
  <si>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</si>
  <si>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</si>
  <si>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</si>
  <si>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</si>
  <si>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Общеразвивающие программы</t>
  </si>
  <si>
    <t>Прочие</t>
  </si>
  <si>
    <t>Начало учебного года</t>
  </si>
  <si>
    <t>Конец учебного года</t>
  </si>
  <si>
    <t>Период</t>
  </si>
  <si>
    <t>Бюджетные места</t>
  </si>
  <si>
    <t>Внебюджетные места</t>
  </si>
  <si>
    <t>- баян</t>
  </si>
  <si>
    <t>- аккордеон</t>
  </si>
  <si>
    <t>- домра</t>
  </si>
  <si>
    <t>- балалайка</t>
  </si>
  <si>
    <t>- гитара</t>
  </si>
  <si>
    <t>- гусли</t>
  </si>
  <si>
    <t>- национальные инструменты</t>
  </si>
  <si>
    <t>- флейта</t>
  </si>
  <si>
    <t>- гобой</t>
  </si>
  <si>
    <t>- кларнет</t>
  </si>
  <si>
    <t>- фагот</t>
  </si>
  <si>
    <t>- саксофон</t>
  </si>
  <si>
    <t>- труба</t>
  </si>
  <si>
    <t>- валторна</t>
  </si>
  <si>
    <t>- тромбон</t>
  </si>
  <si>
    <t>- туба</t>
  </si>
  <si>
    <t>- ударные инструменты</t>
  </si>
  <si>
    <t>- скрипка</t>
  </si>
  <si>
    <t>- виолончель</t>
  </si>
  <si>
    <t>- альт</t>
  </si>
  <si>
    <t>- арфа</t>
  </si>
  <si>
    <t>- синтезатор</t>
  </si>
  <si>
    <t>- другие</t>
  </si>
  <si>
    <t>Специальность</t>
  </si>
  <si>
    <t>Место поступления</t>
  </si>
  <si>
    <t>№</t>
  </si>
  <si>
    <t>X</t>
  </si>
  <si>
    <t>Образовательные программы</t>
  </si>
  <si>
    <t>Число реализуемых образовательных программ</t>
  </si>
  <si>
    <t>Численность обучающихся</t>
  </si>
  <si>
    <t>Дополнительные предпрофессиональные программы в области искусств</t>
  </si>
  <si>
    <t>Дополнительные общеразвивающие программы в области искусств</t>
  </si>
  <si>
    <t>Число программ (из гр. 2), реализуемых с использованием сетевой формы</t>
  </si>
  <si>
    <t>Общее количество адаптированных образовательных программ</t>
  </si>
  <si>
    <t>Из них</t>
  </si>
  <si>
    <t>бюджетная форма обучения</t>
  </si>
  <si>
    <t>платная форма обучения</t>
  </si>
  <si>
    <t>Наименование показателей</t>
  </si>
  <si>
    <t>в том числе: переведено с других форм обучения данной образовательной организации по программам того же уровня - всего (сумма строк 03-04)</t>
  </si>
  <si>
    <t>с платной на бюджетную форму обучения</t>
  </si>
  <si>
    <t>с бюджетной на платную форму обучения</t>
  </si>
  <si>
    <t>переведено в данной образовательной организации на программу другого уровня - всего (сумма строк 06-07)</t>
  </si>
  <si>
    <t>с дополнительной предпрофессиональной программы на дополнительную общеразвивающую программу</t>
  </si>
  <si>
    <t>с дополнительной общеразвивающей программы на дополнительную предпрофессиональную программу</t>
  </si>
  <si>
    <t>прибыло обучающихся из других образовательных организаций с программ того же уровня - всего</t>
  </si>
  <si>
    <t>выбыло по другим причинам</t>
  </si>
  <si>
    <t>по болезни</t>
  </si>
  <si>
    <t>в том числе: переведено в другие образовательные организации на программы того же уровня</t>
  </si>
  <si>
    <t>добровольно прекратили образовательные отношения 
(бросили учёбу)</t>
  </si>
  <si>
    <t>Дополнительные общеразвивающие программы
в области искусств</t>
  </si>
  <si>
    <t>Численность обуч-ся (из гр. 3) по программам, реализуемым с исп. сетевой формы</t>
  </si>
  <si>
    <t>Категория детей с ОВЗ, в том числе инвалиды</t>
  </si>
  <si>
    <t>по слуху</t>
  </si>
  <si>
    <t>по зрению</t>
  </si>
  <si>
    <t>с тяжёлыми нарушениями речи</t>
  </si>
  <si>
    <t>с нарушениями опорно-двигательного аппарата</t>
  </si>
  <si>
    <t>с задержкой психического развития</t>
  </si>
  <si>
    <t>с умственной отсталостью</t>
  </si>
  <si>
    <t>с расстройствами аутистического характера</t>
  </si>
  <si>
    <t>со сложными дефектами</t>
  </si>
  <si>
    <t>с другими ОВЗ</t>
  </si>
  <si>
    <t>Из них (гр. 2) реализуемых</t>
  </si>
  <si>
    <t>чел.</t>
  </si>
  <si>
    <t>%</t>
  </si>
  <si>
    <t>Наличие безбарьерной среды для детей инвалидов: пандусы, подъёмники, тактильные таблички и т.п.
(1 - да, 0 - нет)</t>
  </si>
  <si>
    <t>Наличие учебной и учебно-методической литературы для слепых и слабовидящих
(1 - да, 0 - нет)</t>
  </si>
  <si>
    <t>Наименование адаптированной программы</t>
  </si>
  <si>
    <t>Вид программы</t>
  </si>
  <si>
    <t>Срок реализации</t>
  </si>
  <si>
    <t>Количество человек, получающих стипендии различного уровня:</t>
  </si>
  <si>
    <t>Районые /
городские</t>
  </si>
  <si>
    <t>Областные</t>
  </si>
  <si>
    <t>Губернаторские</t>
  </si>
  <si>
    <t>Федеральные</t>
  </si>
  <si>
    <t>Иные</t>
  </si>
  <si>
    <t>Предпрофессиональные программы</t>
  </si>
  <si>
    <t>1.4. Движение численности учащихся</t>
  </si>
  <si>
    <t>1.5. Сведения о реализуемых образовательных программах</t>
  </si>
  <si>
    <t>1.6. Сведения об обучающихся с ограниченными возможностями здоровья (ОВЗ), в том числе инвалидах</t>
  </si>
  <si>
    <t>1.7. Реализация образовательных программ для лиц с ограниченными возможностями здоровья (ОВЗ), инвалидов</t>
  </si>
  <si>
    <t>1.8. Наличие образовательных программ, адаптированных для лиц с ограниченными возможностями здоровья (ОВЗ), инвалидов</t>
  </si>
  <si>
    <t>1.11. Количество стипендиатов</t>
  </si>
  <si>
    <t>Количество преподавателей:</t>
  </si>
  <si>
    <t>№ п/п</t>
  </si>
  <si>
    <t>ФИО полностью</t>
  </si>
  <si>
    <t>Дата рождения</t>
  </si>
  <si>
    <t>Дата начала работы в данном учреждении</t>
  </si>
  <si>
    <t>Категория</t>
  </si>
  <si>
    <t>Наличие гос. награды, почётного звания, отраслевой награды, даты присвоения</t>
  </si>
  <si>
    <t>Возраст</t>
  </si>
  <si>
    <t>Законченное полное образование (перечислить все профильные учебные заведения, год окончания, специальность, квалификация)</t>
  </si>
  <si>
    <t>Преподаваемый предмет / дисциплина</t>
  </si>
  <si>
    <t>Количество концертмейстеров:</t>
  </si>
  <si>
    <t>Количество руководителей:</t>
  </si>
  <si>
    <t>Должность</t>
  </si>
  <si>
    <t>Образование</t>
  </si>
  <si>
    <t>Неопубликованные материалы, имеющие внутреннюю и внешнюю рецензии, готовые к печати (тема)</t>
  </si>
  <si>
    <t>всего</t>
  </si>
  <si>
    <r>
      <t xml:space="preserve">С получением </t>
    </r>
    <r>
      <rPr>
        <b/>
        <u/>
        <sz val="11"/>
        <color theme="1"/>
        <rFont val="Times New Roman"/>
        <family val="1"/>
        <charset val="204"/>
      </rPr>
      <t>свидетельства</t>
    </r>
  </si>
  <si>
    <r>
      <t xml:space="preserve">С получением </t>
    </r>
    <r>
      <rPr>
        <b/>
        <u/>
        <sz val="11"/>
        <color theme="1"/>
        <rFont val="Times New Roman"/>
        <family val="1"/>
        <charset val="204"/>
      </rPr>
      <t>удостоверения
о повышении квалификации</t>
    </r>
  </si>
  <si>
    <t>Наименование отремонтированного объекта</t>
  </si>
  <si>
    <t>Вид ремонта</t>
  </si>
  <si>
    <t>Объём затраченных средств (всего)</t>
  </si>
  <si>
    <t>Из них по источникам финансирования</t>
  </si>
  <si>
    <t>областной бюджет
(тыс. руб.)</t>
  </si>
  <si>
    <t>муниципальный бюджет
(тыс. руб.)</t>
  </si>
  <si>
    <t>внебюджетные средства
(тыс. руб.)</t>
  </si>
  <si>
    <t>Количество единиц</t>
  </si>
  <si>
    <t>Название инструмента (производитель)</t>
  </si>
  <si>
    <t>Наименование музыкального инструмента</t>
  </si>
  <si>
    <t>используемые в учебном процессе</t>
  </si>
  <si>
    <t>неиспользуемые в учебном процессе</t>
  </si>
  <si>
    <t>Количество устаревших и подлежащих списанию музыкальных инструментов (кол-во единиц)</t>
  </si>
  <si>
    <t>Доля устаревших и подлежащих списанию музыкальных инструментов (%)</t>
  </si>
  <si>
    <t>Общее количество музыкальных инструментов
(кол-во единиц)</t>
  </si>
  <si>
    <t>рояль</t>
  </si>
  <si>
    <t>пианино</t>
  </si>
  <si>
    <t>скрипка</t>
  </si>
  <si>
    <t>альт</t>
  </si>
  <si>
    <t>виолончель</t>
  </si>
  <si>
    <t>контрабас</t>
  </si>
  <si>
    <t>арфа</t>
  </si>
  <si>
    <t>флейта</t>
  </si>
  <si>
    <t>гобой</t>
  </si>
  <si>
    <t>кларнет</t>
  </si>
  <si>
    <t>валторна</t>
  </si>
  <si>
    <t>труба</t>
  </si>
  <si>
    <t>саксофон</t>
  </si>
  <si>
    <t>фагот</t>
  </si>
  <si>
    <t>туба</t>
  </si>
  <si>
    <t>тромбон</t>
  </si>
  <si>
    <t>ударные инструменты</t>
  </si>
  <si>
    <t>баян</t>
  </si>
  <si>
    <t>аккордеон</t>
  </si>
  <si>
    <t>домра</t>
  </si>
  <si>
    <t>балалайка</t>
  </si>
  <si>
    <t>гусли</t>
  </si>
  <si>
    <t>национальные инструменты</t>
  </si>
  <si>
    <t>гитара (в т.ч. её разновидности)</t>
  </si>
  <si>
    <t>ВСЕГО</t>
  </si>
  <si>
    <t>Наименование оборудования</t>
  </si>
  <si>
    <t>Квалификационная категория</t>
  </si>
  <si>
    <t>без категории</t>
  </si>
  <si>
    <t>первая</t>
  </si>
  <si>
    <t>высшая</t>
  </si>
  <si>
    <t>Преподаватель</t>
  </si>
  <si>
    <t>Концертмейстер</t>
  </si>
  <si>
    <t>Адрес собственного Интернет-сайта:</t>
  </si>
  <si>
    <t>Количество публикаций:</t>
  </si>
  <si>
    <t>Количество просмотров:</t>
  </si>
  <si>
    <t>Наличие доступа в интернет (да - 1, нет - 0):</t>
  </si>
  <si>
    <t>Наличие доступа в Интернет для посетителей из фойе (да - 1, нет - 0):</t>
  </si>
  <si>
    <t>Число зданий</t>
  </si>
  <si>
    <t>зрения</t>
  </si>
  <si>
    <t>слуха</t>
  </si>
  <si>
    <t>Число зданий, являющихся объектами культурного наследия (из гр.1)</t>
  </si>
  <si>
    <t>федерального значения</t>
  </si>
  <si>
    <t>регионального значения</t>
  </si>
  <si>
    <t>Число зданий, доступных для лиц с нарушениями (из гр.1)</t>
  </si>
  <si>
    <t>требующих капитального ремонта</t>
  </si>
  <si>
    <t>в аварийном состоянии</t>
  </si>
  <si>
    <t>опорно-
двигательного
аппарата</t>
  </si>
  <si>
    <t>Число зданий
(из гр.1)</t>
  </si>
  <si>
    <t>Число зданий (помещений) по форме пользования (из гр.1)</t>
  </si>
  <si>
    <t>в оперативном управлении</t>
  </si>
  <si>
    <t>арендованные</t>
  </si>
  <si>
    <t>прочие</t>
  </si>
  <si>
    <t>Число учебных комнат</t>
  </si>
  <si>
    <t>в том числе учебных (из гр.13)</t>
  </si>
  <si>
    <r>
      <t>Площадь помещений (м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</t>
    </r>
  </si>
  <si>
    <t>Наличие современного материально-технического оборудования
(да - 1, нет - 0)</t>
  </si>
  <si>
    <t>Наличие концертного /
выставочного / театрального / хореографического залов
(да - 1, нет - 0)</t>
  </si>
  <si>
    <t>Наличие библиотеки (да - 1,
нет - 0)</t>
  </si>
  <si>
    <t>Число единиц специализированного оборудования для инвалидов</t>
  </si>
  <si>
    <t>Число персональных компьютеров</t>
  </si>
  <si>
    <t>Адреса зданий (из графы 1), в которых осуществляется образовательная деятельность</t>
  </si>
  <si>
    <t>Адрес (полный адрес, с указанием индекса)</t>
  </si>
  <si>
    <t>Наименование портала</t>
  </si>
  <si>
    <t>Ссылка на портал</t>
  </si>
  <si>
    <t>Уровень</t>
  </si>
  <si>
    <t>Количество
публикаций</t>
  </si>
  <si>
    <t>Наименование печатного издания</t>
  </si>
  <si>
    <t>Дата публикации</t>
  </si>
  <si>
    <t>Название статьи</t>
  </si>
  <si>
    <t>Наименование телеканала</t>
  </si>
  <si>
    <t>Название передачи</t>
  </si>
  <si>
    <t>5. Аналитические материалы</t>
  </si>
  <si>
    <t>3. Взаимодействие с общественными организациями (формы, мероприятия) - общественные советы, попечительские советы, родительский комитет и т.п.</t>
  </si>
  <si>
    <t>2. Формы работы в летнее время, количество участников летних проектов на базе вашего образова-тельного учреждения: лагерь с дневным пребыванием детей, пленэры, летние творческие школы и др.</t>
  </si>
  <si>
    <t>4. Привлечение обучающихся к участию в волонтёрской деятельности.</t>
  </si>
  <si>
    <t>1. Результативность работы по основным направлениям.</t>
  </si>
  <si>
    <t>6. Межрегиональное и международное сотрудничество (проекты, учебно-методическая деятельность, мероприятия).</t>
  </si>
  <si>
    <t>5. Взаимодействие с Учебно-методическим и информационным центром.</t>
  </si>
  <si>
    <t>4. Взаимодействие с другими учреждениями культуры, домами культуры, библиотеками и т.д. (формы, мероприятия).</t>
  </si>
  <si>
    <t>3. Взаимодействие с другими детскими школами искусств, а также с Ярославским музыкальным училищем (колледжом) имени Л.В. Собинова, Ярославским художественным училищем, Ярославским колледжем культуры, включая ДШИ и ГОУСПО других регионов (формы, мероприятия).</t>
  </si>
  <si>
    <t>2. Использование современных технологий.</t>
  </si>
  <si>
    <t>1. Обновление содержания образования (в том числе планируемые к реализации новые образователь-ные программы (направления) в следующем учебном году).</t>
  </si>
  <si>
    <t>Законченное полное образование (среднее/высшее, перечислить все профильные учебные заведения, год окончания, специальность, квалификация)</t>
  </si>
  <si>
    <t xml:space="preserve">          Уважаемые руководители! Просьба подготовить развёрнутый ответ по образовательной деятельности и воспитательной работе за отчётный учебный год по нижеследующим пунктам. Ответ приложить в виде дополнения к формам 1 и 2 в формате .doc.</t>
  </si>
  <si>
    <t>Руководитель (полные ФИО):</t>
  </si>
  <si>
    <t>3 года</t>
  </si>
  <si>
    <t>Были аттестованы в отчётном уч.г.</t>
  </si>
  <si>
    <t>Планируют аттестацию в следующем уч.г.</t>
  </si>
  <si>
    <t>2.1. Сведения о руководителях</t>
  </si>
  <si>
    <t>2.3. Мониторинг обновления кадрового состава учреждения</t>
  </si>
  <si>
    <t>3.1. Материально-техническая база</t>
  </si>
  <si>
    <t>3.2. Сведения о ремонтах, проведённых в отчётном году</t>
  </si>
  <si>
    <t>3.3. Сведения о музыкальных инструментах, приобретённых / полученных в отчётном году</t>
  </si>
  <si>
    <t>4.1. Информационная открытость образовательного учреждения</t>
  </si>
  <si>
    <t>4.2. Публикации на федеральных, региональных и муниципальных интернет-порталах</t>
  </si>
  <si>
    <t>4.3. Публикации в печатных СМИ федерального, регионального и муниципального уровней</t>
  </si>
  <si>
    <t>4.4. Публикации на ТВ-каналах федерального, регионального и муниципального уровней</t>
  </si>
  <si>
    <t>5.1. Образовательная деятельность учреждения</t>
  </si>
  <si>
    <t>5.2. Воспитательная работа учреждения</t>
  </si>
  <si>
    <t>Декоративно-прикладное творчество</t>
  </si>
  <si>
    <t>Прибыло обучающихся - всего (сумма строк 02, 05, 08, 09)</t>
  </si>
  <si>
    <t>Выбыло обучающихся - всего (сумма строк 11-14)</t>
  </si>
  <si>
    <t>Численность обучающихся, которая получается из расчёта прибывших / переведённых / выбывших в течение учебного года
(с 1 октября по 31 мая)</t>
  </si>
  <si>
    <t>В том числе (из графы 2)</t>
  </si>
  <si>
    <t>количество обучающихся
с ОВЗ</t>
  </si>
  <si>
    <t>количество обучающихся-инвалидов</t>
  </si>
  <si>
    <t>Доля преподавателей, прошедших обучение по программам повышения квалификации или переподготовки, направленным на работу с инвалидами и лицами с ОВЗ</t>
  </si>
  <si>
    <t>2019-2020</t>
  </si>
  <si>
    <t>Полные ФИО стипендиата</t>
  </si>
  <si>
    <t>Вид стипендии</t>
  </si>
  <si>
    <t>ü</t>
  </si>
  <si>
    <t>1.1. Численность контингента обучающихся по направлениям на начало учебного года</t>
  </si>
  <si>
    <t>Количество обучающихся на начало учебного года</t>
  </si>
  <si>
    <t>из них
(гр. 5)
бюджет</t>
  </si>
  <si>
    <t>Подано заявлений в первый класс</t>
  </si>
  <si>
    <t>Принято в первый класс</t>
  </si>
  <si>
    <t>из них (гр. 13) бюджет</t>
  </si>
  <si>
    <t>из них (гр. 9) бюджет</t>
  </si>
  <si>
    <t>из них (гр. 7) бюджет</t>
  </si>
  <si>
    <t>из них (гр.11) бюджет</t>
  </si>
  <si>
    <t>Из них
(гр. 3)
детей-инвалидов и лиц с ОВЗ</t>
  </si>
  <si>
    <t>Количество обучающихся на конец учебного года</t>
  </si>
  <si>
    <t>Выпускники</t>
  </si>
  <si>
    <t>из них (гр. 7 ) детей-инвалидов и лиц с ОВЗ</t>
  </si>
  <si>
    <t>из них (гр. 12) бюджет</t>
  </si>
  <si>
    <t>из них (гр. 12 ) детей-инвалидов и лиц с ОВЗ</t>
  </si>
  <si>
    <t>1.2. Численность контингента обучающихся по направлениям на конец учебного года</t>
  </si>
  <si>
    <t>1.3. Численность обучающихся на бюджетных и внебюджетных местах на начало и конец учебного года (не заполняется)</t>
  </si>
  <si>
    <t>выпускников, завершивших обучение по предпрофессиональным программам и продолживших обучение в ссузах и вузах в 2019 году</t>
  </si>
  <si>
    <t>выпускников, завершивших обучение по общеразвивающим программам и продолживших обучение в ссузах и вузах в 2019 году</t>
  </si>
  <si>
    <t>Полные ФИО</t>
  </si>
  <si>
    <t>1.10. Выпускники, поступившие в ссузы и вузы в 2019 г.</t>
  </si>
  <si>
    <t>Выпуск 2020</t>
  </si>
  <si>
    <t>количество выпускников по предпрофессиональным программам</t>
  </si>
  <si>
    <t>количество выпускников по общеразвивающим программам - бюджетное отделение</t>
  </si>
  <si>
    <t>количество выпускников по общеразвивающим программам - внебюджетное отделение</t>
  </si>
  <si>
    <t>общее количество выпускников</t>
  </si>
  <si>
    <t>1.9. Количество выпускников в отчётном учебном году</t>
  </si>
  <si>
    <t>Количество поступавших обучающихся, которые могли бы выпуститься в 2020 году, включая выпускников и отчисленных за весь период обучения</t>
  </si>
  <si>
    <t>по предпрофессиональным программам</t>
  </si>
  <si>
    <t>по общеразвивающим программам - бюджетное отделение</t>
  </si>
  <si>
    <t>по общеразвивающим программам - внебюджетное отделение</t>
  </si>
  <si>
    <t>общее количество поступавших</t>
  </si>
  <si>
    <t>Сохранность контингента</t>
  </si>
  <si>
    <t>общая сохранность</t>
  </si>
  <si>
    <t>Количество обучающихся детей-инвалидов и лиц с ОВЗ по состоянию на
1 октября текущего учебного года</t>
  </si>
  <si>
    <t>- подготовительное отделение</t>
  </si>
  <si>
    <t>- гр. раннего эстетического развития</t>
  </si>
  <si>
    <t>38</t>
  </si>
  <si>
    <t>39</t>
  </si>
  <si>
    <t>Совпадение движения численности обучающихся согласно предоставленным данным на начало и конец учебного года</t>
  </si>
  <si>
    <t>по общеразвивающим программам -
бюджетное отделение</t>
  </si>
  <si>
    <t>û</t>
  </si>
  <si>
    <t xml:space="preserve">Общий стаж работы
по спец-ти </t>
  </si>
  <si>
    <t>-</t>
  </si>
  <si>
    <t>Педагог-ий стаж</t>
  </si>
  <si>
    <t>Концермейстер в классе…</t>
  </si>
  <si>
    <t xml:space="preserve">Педагог-ий стаж </t>
  </si>
  <si>
    <t>Количество методистов:</t>
  </si>
  <si>
    <t>Количество молодых специалистов (до 30 лет), имеющих стаж менее 3 лет:</t>
  </si>
  <si>
    <t>2.2.1. Сведения о педагогических кадрах</t>
  </si>
  <si>
    <t>2.2.2. Сведения о педагогических кадрах</t>
  </si>
  <si>
    <t>2.2.3. Сведения о педагогических кадрах</t>
  </si>
  <si>
    <t>Количество человек, принимавших участие</t>
  </si>
  <si>
    <t>Даты
проведения</t>
  </si>
  <si>
    <t>2.4.1. Участие педагогических работников образовательного учреждения в методических мероприятиях</t>
  </si>
  <si>
    <t>Описание (кто принимал участие,
темы выступлений, итоги)</t>
  </si>
  <si>
    <t>Наименование конкурса
профессионального мастерства</t>
  </si>
  <si>
    <t>2.4.2. Участие педагогических работников образовательного учреждения в методических мероприятиях</t>
  </si>
  <si>
    <t>Участие в мастер-классах (кто проводит), семинарах и конференциях (наименование)</t>
  </si>
  <si>
    <t>Активное участие</t>
  </si>
  <si>
    <t>темы участия</t>
  </si>
  <si>
    <t>кол-во чел. (ФИО)</t>
  </si>
  <si>
    <t>Пассивное участие
(кол-во чел.)</t>
  </si>
  <si>
    <t>2.4.3. Участие педагогических работников образовательного учреждения в методических мероприятиях</t>
  </si>
  <si>
    <t>Публикации в печатных изданиях
(тема, издание, дата публикации)</t>
  </si>
  <si>
    <t>2.5. Повышение квалификации педагогических работников образовательного учреждения в отчётном учебном году</t>
  </si>
  <si>
    <t>Наименование организации, ответственной за КПК</t>
  </si>
  <si>
    <t>Наименование КПК</t>
  </si>
  <si>
    <t>Кол-во участников</t>
  </si>
  <si>
    <t>2.6. Сведения об аттестации педагогических работников</t>
  </si>
  <si>
    <t>2.7. Поимённый список педагогических работников, планирующих пройти аттестацию на квалификационную категорию 
в следующем учебном году с указанием категории, на которую претендуют.</t>
  </si>
  <si>
    <t>2020-2021 учебный год</t>
  </si>
  <si>
    <t>другое:</t>
  </si>
  <si>
    <t>Общая сумма
(тыс. руб.)</t>
  </si>
  <si>
    <t>другое
(источник,
тыс. руб.)</t>
  </si>
  <si>
    <t>3.5. Сведения о приобретении прочего оборудования для учебного процесса (мебель, электроника и др.)</t>
  </si>
  <si>
    <t>3.4. Сведения о приобретении оборудования для учебного процесса художественного отделения</t>
  </si>
  <si>
    <t>3.6. Сведения о состоянии музыкальных инструментов на 01.06.2020</t>
  </si>
  <si>
    <t>Количество подписчиков</t>
  </si>
  <si>
    <t>Количество публикаций</t>
  </si>
  <si>
    <t>Вконтакте</t>
  </si>
  <si>
    <t>Facebook</t>
  </si>
  <si>
    <t>Одноклассники</t>
  </si>
  <si>
    <t>Instagram</t>
  </si>
  <si>
    <t>Youtube-канал</t>
  </si>
  <si>
    <t>01 июня - 31 декабря</t>
  </si>
  <si>
    <t>01 января - 31 мая</t>
  </si>
  <si>
    <t>Сумма
(тыс. руб.)</t>
  </si>
  <si>
    <t>Численность обучающихся на начало учебного года 
(на 1 октября 2019 г.)</t>
  </si>
  <si>
    <t>добор на обучение (в т.ч. в 1 класс) период с 1 октября по 31 мая - всего</t>
  </si>
  <si>
    <t>Принято в первый класс /
на обучение</t>
  </si>
  <si>
    <t>Выпускники / закончили по договору на платной основе</t>
  </si>
  <si>
    <t>Наличие помещений для работы со специализированными материалами 
(да - 1, нет - 0)</t>
  </si>
  <si>
    <t>ФИО автора
(составителя, редактора)</t>
  </si>
  <si>
    <t>Наличие
компьютер-ного класса
(да - 1,
нет - 0)</t>
  </si>
  <si>
    <t>Наличие мастерской, балетного класса, костюмерной, раздевалки
(да - 1, нет - 0)</t>
  </si>
  <si>
    <t>Тихомирова Ирина Николаевна</t>
  </si>
  <si>
    <t>Муниципальное учреждение дополнительного образования «Детская школа искусств № 10» города Ярославля</t>
  </si>
  <si>
    <t>150063, г. Ярославль, ул. Труфанова, д. 29, корп. 5</t>
  </si>
  <si>
    <t>150064, г. Ярославль, ул. Строителей, д. 21</t>
  </si>
  <si>
    <t>150019, г. Ярославль, переулок Красноперевальский, д. 4</t>
  </si>
  <si>
    <t>http://яр-дши10.рф/</t>
  </si>
  <si>
    <t>https://vk.com/club135423836</t>
  </si>
  <si>
    <t>https://www.facebook.com/groups/shkola.iskusstv10/</t>
  </si>
  <si>
    <t>https://ok.ru/group/55780035788821</t>
  </si>
  <si>
    <t>09 октября 2019</t>
  </si>
  <si>
    <t>УМиИЦ</t>
  </si>
  <si>
    <t>Семинар «Реализация дополнительных общеобразовательных программ для обучающихся с ОВЗ: нормативное и программно-методическое сопровождение»</t>
  </si>
  <si>
    <t>Кузьмичева Ольга Олеговна</t>
  </si>
  <si>
    <t>Тихомирова Ирина Николаенва</t>
  </si>
  <si>
    <t>Махнева Марина Юрьевна</t>
  </si>
  <si>
    <t>Гуляева Ирина Павловна</t>
  </si>
  <si>
    <t>Директор</t>
  </si>
  <si>
    <t>Заместитель директора</t>
  </si>
  <si>
    <t>Высшее
ЯМУ им. Л.В.Собинова, 1990, специальность "фортепиано", квалификация преподаватель, концертмейстер.
Волго-Вятская академия государственной службы, 2007,
специальность "государственно и муниципальное управление", квалификация менеджер</t>
  </si>
  <si>
    <t>Высшее
Кировское училище искусств, 1991, специальность теория музыки, квалификация преподаватель.
Костромской государственный университет им. Н.А. Некрасова, 2008, специальность "Музыкальное образование", квалификация учитель музыки</t>
  </si>
  <si>
    <t>Высшее
Ярославский государственный университет имени П.Г. Демидова, 1998, специальность "Прикладная математика", квалификация математик</t>
  </si>
  <si>
    <t>Астафьева Алла Александровна</t>
  </si>
  <si>
    <t>Афанасьева Татьяна Анатольевна</t>
  </si>
  <si>
    <t>Бурлакова Гузель Азатовна</t>
  </si>
  <si>
    <t>Евдокимова Ирина Михайловна</t>
  </si>
  <si>
    <t>Капитонова Екатерина Евгньевна</t>
  </si>
  <si>
    <t>Кольцова Тамара Михайловна</t>
  </si>
  <si>
    <t>Костицына Лия Георгиевна</t>
  </si>
  <si>
    <t>Литвинова Эльвира Илмаривна</t>
  </si>
  <si>
    <t>Махова Елена Юрьевна</t>
  </si>
  <si>
    <t>Сидельникова Ольга Константиновна</t>
  </si>
  <si>
    <t>Чернятина Яна Владимировна</t>
  </si>
  <si>
    <t>Наумова Тамара Витальевна</t>
  </si>
  <si>
    <t>Недюжин Михаил Анатольевич</t>
  </si>
  <si>
    <t>Носова Марина Сергеевна</t>
  </si>
  <si>
    <t>Румянцева Антонина Александровна</t>
  </si>
  <si>
    <t>Пермякова Марина Борисовна</t>
  </si>
  <si>
    <t>Одинцова Галина Валентиновна</t>
  </si>
  <si>
    <t>Веретенникова Наталия Владимировна</t>
  </si>
  <si>
    <t>Никитин Кирилл Александрович</t>
  </si>
  <si>
    <t>Недюжина Наталья Леонидовна</t>
  </si>
  <si>
    <t>фортепиано</t>
  </si>
  <si>
    <t>Без категории</t>
  </si>
  <si>
    <t>теоретические дисциплины</t>
  </si>
  <si>
    <t>Высшая</t>
  </si>
  <si>
    <t>Высшее
ЯМУ им. Л.В, Собинова, 2003, артист оркестра (ансамбля),  специальность народные иснтрументы (домра), квалификация преподаватель, руководитель творческого коллектива.
ЯГПУ им. К.Д. Ушинского, 2013, специальность "Дошкольная педагогика и психология", квалификация перподаватель дошкольной педагогики и психологии</t>
  </si>
  <si>
    <t>Первая</t>
  </si>
  <si>
    <t>хор</t>
  </si>
  <si>
    <t>Высшее
ЯМУ им. Л.В. Собинова, 1981, специальность хоровое дирижирование, квалификация дирижер хора, учитель пения в школе, преподаватель сольфеджио в музыкальной школе.
Московский ордена Трудового Красного знамени гос.институт культуры, 1987, специальность культурно-просветительская работа, квалификация кулпросветрабтник, руководитель самодеятльного академического хора</t>
  </si>
  <si>
    <t>Высшее
Октябрьское муз.училище, 1977, специальность теория музыки, квалификация  педагог ДМШ по муз.-теоретич.дисциплинам и общему фортепиано.
Казанский гос. Педагогический институт, 1987, специальность музыка, квалификация учитель музыки</t>
  </si>
  <si>
    <t>гитара</t>
  </si>
  <si>
    <t>Высшее
ЯМУ им.Л.В.Собинова, 1984, специальность теория музыки, квалификация преподаватель муз.школы по сольфедио, музыкальной литературе и общему фортепиано.
ЯГПУ им. К.Д. Ушинского, 1994, специальность русский язык и литература, квалификация учитель русского языка и литературы</t>
  </si>
  <si>
    <t>Высшее
ЯМУ им. Л.В. Собинова, 2000, специальность теория музыки, квалификация преподаватель музыкально-теоретических дисциплин.
Вологодский гос.педагогический университиет, 2005, специальность музыкальное образование, квалификация теория музыки.</t>
  </si>
  <si>
    <t>Среднее 
Чернигорское государственное музыкальное училище, 1973,
специальность фортепиано, квалификация преподаватель детской музыкальной школы по классу фортепиано, концертмейстер</t>
  </si>
  <si>
    <t>Высшее
ЯМУ им. Л.В. Собинова, 2011, специальность инструментальное исполнительство, фортепиано, квалификация преподаватель игры на инструменте, концертмейстер.
ЯГПУ им.К.Д. Ушинского, 2014, специальность музыкальное образование, квалификация учитель музыки</t>
  </si>
  <si>
    <t>Высшее
Новгородское областное уилище искусств им. С.В. Рахманинова, 2000, спциальность фортепиано, квалификация преподаватель, концертмейстер.
Новгородский гос.университет им.Ярослава Мудрого, 2004, специальность психология, квалификация психолог, преподаватель психологии</t>
  </si>
  <si>
    <t>Высшее
Северодонецкое музыкальное училище им. С.С. Прокофьева, 2001, специальность музыкальное искусство, квалификация преподаватель по классу фортепиано, концертмейстр, артист ансамбля.
Луганский национальный педагогический университет им. Тараса Шевченко, 2004, специальность музыкальная педагогика и воспитание, квалификация учитель музыки и художественной культуры.
Луганский национальный педагогический университет им. Тараса Шевченко, 2005, специальность управление учебным заведением, квалификация руководитель учебного заведения, организатор образовательно деятельности.</t>
  </si>
  <si>
    <t>Среднее
Ворошиловоградское гос. музыкальное училище, 1977, специальность струнные инструменты, квалификация преподаватель ДМШ по классу скрипки, артист оркестра</t>
  </si>
  <si>
    <t>хор
вокал</t>
  </si>
  <si>
    <t>Высшее
ЯГПУ им. К.Д. Ушинского, 2005, специальность музыкальное образование, квалификация учитель музыки.</t>
  </si>
  <si>
    <t>Высшее
ЯМУ им. Л.В. Собинова, 1975, специальность фортепиано, квалификация прподаватель музыкальной школы и концертмейстер.
Ярославское училище культуры, 1998, специальность социально-культурная деятельность и народное художественное творчество, квалификация педагог-организ. досуга, постановщик досговых программ.
ЯГПУ им. К.Д. Ушинскго, 1982, специальность русский язык и литература, квалификация учитель русского языка и литературы</t>
  </si>
  <si>
    <t>Высшее
ЯМУ им. Л.В. Собинова, 1989, специальность народные инструменты (баян), квалификация прподаватель, руководитель самодеятельного оркестра.
Нижгородская гос.консерватория им. М.И. Глинки, 1994, специальность баян, квалификация концертный исполниетель, преподаватель</t>
  </si>
  <si>
    <t>Среднее
Буйское музыкальнео училище, 1984, специальность фортепиано, квалификация преподавател ДШИ, концертмейстер</t>
  </si>
  <si>
    <t>Среднее
Рязанское музыкальное училище, 1972, специальность народные инструменты, квалификация руководитель самодеятельного оркестра народных инструментов, преподаватель музыкальной школы по классу баяна</t>
  </si>
  <si>
    <t>Среднее
Новокузнецкое музыкальное училище, 1980, специальность фортепиано, квалификация преподаватель ДМШ, концертмейстер</t>
  </si>
  <si>
    <t>Высшее
ЯМУ им. Л.В. Собинова, 1980, специальность хоровое дирижирование, квалификация дирижер хора, учитель музыки и пения в общеобразовательной школе, преподаватель сольфеджио в музыкальной школе.
Ленинградский орд.Дружбы народов гос.институт культуры им. Н.К. Крупской, 1986, специальность культурно-просветитльская работа, специальность культпросветработник, руководитель самодеятельного русского народного хорового коллектива</t>
  </si>
  <si>
    <t>Высшее
Ленинградская ордена Ленина Государственная консерватория мс. Н.А. Римского-Корсакова, 1979, специальность фортепиано, квалификация солист камерного ансамбля, преподаватель, концертмейстер</t>
  </si>
  <si>
    <t>Высшее
Нижнекамский музыкальный колледж им. Салиха Сайдашева, 2009, специальность инструментальное исполнительство, квалификация артист оркестра (ансамбля), преподаватель игры на инструменте, концертмейстер.
Московский гуманитарно-экономический институт, 2013, специальность юриспруденция, квалификация юрист.</t>
  </si>
  <si>
    <t>Высшее
Буйское областное училище искусств, 1992, специальность народные инструменты (домра), квалификация артист, руководитель самодеятельного оркестра, преподаватель.
Нижегородская гос.консерватория им. М.И. Глинки, 1998, специальность инструментальное исполнительство (домра), квалификация концертный исполнитель, преподаватель</t>
  </si>
  <si>
    <t>Никитина Юлия Александровна</t>
  </si>
  <si>
    <t>домры / скрипки</t>
  </si>
  <si>
    <t>хора / вокала</t>
  </si>
  <si>
    <t>домры / хора</t>
  </si>
  <si>
    <t>Высшее
ЯМУ им. Л.В. Собинова, 2007, специальность инструментальное исполнительство, квалификация преподаватель игры на инструменте, концертмейстер
Костромской гос. университет им. Н.А. Некрасова, 2010,
специальность музыкальное образование, квалификация уитель музыки</t>
  </si>
  <si>
    <t>хора</t>
  </si>
  <si>
    <t>домры</t>
  </si>
  <si>
    <t>Домра</t>
  </si>
  <si>
    <t>Аккордеон</t>
  </si>
  <si>
    <t>Мольберт</t>
  </si>
  <si>
    <t>Гипсовые фигуры</t>
  </si>
  <si>
    <t>Led прожектор</t>
  </si>
  <si>
    <t>Штатив для 2-х прожекторов</t>
  </si>
  <si>
    <t>табурет пластик/металл</t>
  </si>
  <si>
    <t xml:space="preserve">Договор пожертвования </t>
  </si>
  <si>
    <t xml:space="preserve"> Договор пожертвования               </t>
  </si>
  <si>
    <t>Тяжелов Захар Александрович</t>
  </si>
  <si>
    <t>ь</t>
  </si>
  <si>
    <t>Брюзгина Ульяна Олеговна</t>
  </si>
  <si>
    <t>Горячев Егор Александрович</t>
  </si>
  <si>
    <t>Методическое сообщение преп. Евдокимовой И.М.«Зимние народные обряды на примере гаданий» на секции теоретического отдела ДШИ № 10</t>
  </si>
  <si>
    <t>Методическое сообщение преп. Евдокимовой И.М.«Зимние народные обряды на примере гаданий»</t>
  </si>
  <si>
    <t>Методическое сообщение преп. Маховой Е.Ю.«Специфика деятельности концертмейстера  в работе с хором мальчиков» на сепкции фортепианного отдела ДШИ № 10</t>
  </si>
  <si>
    <t>Методическое сообщение преп. Маховой Е.Ю.«Специфика деятельности концертмейстера  в работе с хором мальчиков»</t>
  </si>
  <si>
    <t>Семинар «Реализация дополнительных общеобразовательных программ для обучающихся с ОВЗ» для руководителей      и преподавателей учреждений доп.образования г. Ярославля и Ярославской области,        УМиИЦ</t>
  </si>
  <si>
    <t>Семинар «Внедрение профессиональных стандартов в учреждениях культуры» для руководителей учреждений доп. Образования       г. Ярославля и Ярославской области             УМиИЦ</t>
  </si>
  <si>
    <t>Мастер-класс преп. Музыкального училища при Московской гос. Консерватории         им. П.И.Чайковского  Фихтенгольц Н.М. для преподавателей струнно-смычковых инструментов ДШИ и ДМШ  г. Ярославля и Ярославской области    ДШИ им. Д.Когана</t>
  </si>
  <si>
    <t>Участие в мастер-классе Сокова Кирила (уч. 4 кл. - скрипка) преп. Сидельникова О.К., конц-р Костицына Л.Г.</t>
  </si>
  <si>
    <t>Открытый урок преподавателя   ДШИ № 10 Недюжиной Н.Л. «Первые шаги  в музыке» на КПК для преподавателей народных инструментов ДШИ Костромской области         УМиИЦ г. Кострома</t>
  </si>
  <si>
    <t>Открытый урок преподавателя   ДШИ № 10 Недюжиной Н.Л. «Первые шаги  в музыке» с ученицей 1 класса Блохиной Натальей  (конц-р Никитина Ю.А.)</t>
  </si>
  <si>
    <t>Методическое сообщение преп. ДШИ № 110 Никитиной Ю.А. «Особенности работы концертмейстера в классе домры» в рамках КПК для преподавателей нар. инструментов Костромской области           УМиИЦ г. Кострома</t>
  </si>
  <si>
    <t>Методическое сообщение преп. ДШИ № 110 Никитиной Ю.А. «Особенности работы концертмейстера в классе домры»</t>
  </si>
  <si>
    <t>Мастер-класс преп. ДШИ № 10 Недюжиной Н.Л. с обучающимися ДШИ  и ДМШ г. Кострома в рамках КПК для преподавателей нар. инструментов Костромской области                               УМиИЦ г. Кострома</t>
  </si>
  <si>
    <t>Мастер-класс преп. ДШИ № 10 Недюжиной Н.Л. с обучающимися ДШИ  и ДМШ г. Кострома</t>
  </si>
  <si>
    <t>Семинар  «Моя профессия – концертмейстер» для преподавателей-концертмейстеров ДШИ и ДМШ г. Кострома и Костромской области, а также других регионов                                       КГУ им. Некрасова г. Кострома</t>
  </si>
  <si>
    <t>14-15.12.2019</t>
  </si>
  <si>
    <t>Мастер-класс                и семинар «Базовые принципы работы пианиста                        с клавирными уртекстами И.С.Баха»
Аркадьева М.А. для преподавателей фортепиано ДМШ и ДШИ г. Ярославля        и Ярославской области                               УМиИЦ, ДШИ им. Когана</t>
  </si>
  <si>
    <t>Мастер-класс преп. ЯМУ Харчева А.А. «Современные тенденции в развитии классической гитары» для преподавателей по классу народных инструментов ДШИ и ДМШ г. Ярославля                                                    ЯМУ им. Собинова, ГЦДТ</t>
  </si>
  <si>
    <t xml:space="preserve"> -</t>
  </si>
  <si>
    <t>Аверкиева Людмила Аркадьевна</t>
  </si>
  <si>
    <t>Высшее. 
ЯМУ им. Л.В. Собинова, 1971, специальность фортепиано. 
ЯГПИ им. К.Д. Ушинского, 1981, специальность русский язык и литература</t>
  </si>
  <si>
    <t>Афанасьева Татьяна Владимировна</t>
  </si>
  <si>
    <t>Студентка 4 курса ЯМУ им. Л.В. Собинова
"Инструменты народного оркестра"</t>
  </si>
  <si>
    <t>Ефремова Елена Сергеевна</t>
  </si>
  <si>
    <t>Вокал</t>
  </si>
  <si>
    <t>Высшее
ЯМУ им. Л.С. Собинова, 2000, специальность хоровое дирижирование.
ЯГПУ им. КД. Ушинского, 2018, педагогическое образование</t>
  </si>
  <si>
    <t>Коренченко Елена Александровна</t>
  </si>
  <si>
    <t>ИЗО</t>
  </si>
  <si>
    <t>Высшее
Перславский кинофотохимический колледж, 2004, специальность дизайн.
Московский психолого-социальный институт, 2011, специальность психология</t>
  </si>
  <si>
    <t>Махова Виктория Леонидовна</t>
  </si>
  <si>
    <t>Среднее
ЯМУ им. Л.В. Собинова, 2016, специальность теория музыки</t>
  </si>
  <si>
    <t>Шесткова Ксения Александровна</t>
  </si>
  <si>
    <t>Среднее
Ярославское художественное училище, 2019, специальность живопись (по видам)</t>
  </si>
  <si>
    <t>Студентка 3 курса ЯМУ им. Л.В. Собинова, отделение хорового дирижирования</t>
  </si>
  <si>
    <t>Домецкий Роман Николаевич</t>
  </si>
  <si>
    <t>Высшее
ЯМУ им. Л.В. Собинова, 2011,специальность инструментальное исполнительство, оркестровые струнные инструменты.
Петрозаводская государственная консерватория им. А.К. Глазунова, 2019, специальность искусство концертного исполнительства</t>
  </si>
  <si>
    <t xml:space="preserve">https://www.instagram.com/shkola_iskusstv10/  </t>
  </si>
  <si>
    <t>Щербакова Кристина Сергеевна</t>
  </si>
  <si>
    <t xml:space="preserve">Аверкиева Людмила Аркадьевна </t>
  </si>
  <si>
    <t>Шестакова Ксения Александровна</t>
  </si>
  <si>
    <t>Концермейстер</t>
  </si>
  <si>
    <t>гитара
дата приёма на работу 01.09.2019</t>
  </si>
  <si>
    <t>ИЗО
дата приема на работу 03.10.2019</t>
  </si>
  <si>
    <t>хор
дата приема на работу 01.11.2019</t>
  </si>
  <si>
    <t>Среднее специальное</t>
  </si>
  <si>
    <t>Ярославское художественное училище, 2019, специальность живопись (по видам)</t>
  </si>
  <si>
    <t>Махнёва Марина Юрьевна</t>
  </si>
  <si>
    <t>Мастер-класс профессора Нижегородской
 консерватории Лукьяновой Л.В. для преподавателей струнных смычковых инструментов ДШИ г.Ярославля   и Ярославской области,   ЯМУ им. Собинова</t>
  </si>
  <si>
    <t>06-07.11.2019</t>
  </si>
  <si>
    <t>Презентация методической разработки преп. Пермяковой М.Б.
«Использование игровых методов и упражнений для постановки пианисти-ческого аппарата и освоения технических навыков обучающихся 6-8 лет»</t>
  </si>
  <si>
    <t>Ежегодный практикум преподавателей
 доп.образования сферы культуры и
 искусства «Открытая школа»
 («Копилка методических находок») УМиИЦ</t>
  </si>
  <si>
    <t>Мастер-класс  и семинар исполнителя,
 композитора, преп. РАМ им. Гнесиных 
Сергея Фёдорова
 (г. Москва)
УМиИЦ г. Кострома</t>
  </si>
  <si>
    <t>24.09 - 11.11.2019</t>
  </si>
  <si>
    <t>АНО ДПО «Оренбургская бизнес-школа»</t>
  </si>
  <si>
    <t>07-08.12.2019</t>
  </si>
  <si>
    <t>УМиИЦ
Институт повышения квалификации</t>
  </si>
  <si>
    <t>Семинар «Внедрение профессиональных стандартов                   в учреждениях культуры»</t>
  </si>
  <si>
    <t xml:space="preserve">КПК для руководителей учреждений доп.образования детей сферы культуры на тему «Нормативно-правовое обеспечение внедрения профессионального стандарта учреждений дополнительного образования детей культуры и искусства» </t>
  </si>
  <si>
    <t>01-02.12.2019</t>
  </si>
  <si>
    <t>Обучение    по дополнительной 
профессиональной программе 
преподавателей    по классу 
хоровых дисциплин и хормейстеров«Совершенствование профессиональной компетентности руководителей детских хоровых коллективов»</t>
  </si>
  <si>
    <t>Семинаре исполнителя, композитора, преподавателя РАМ им. Гнесиных, ГПМИ им. Ипполитова-Иванова, Лауреата Международных конкурсов Сергея Фёдорова</t>
  </si>
  <si>
    <t>УМиИЦ г. Кострома</t>
  </si>
  <si>
    <t>Ежегодном практикуме для  преподавателей доп.образования сферы культуры и искусства «Открытая школа» («Копилка методических находок»)</t>
  </si>
  <si>
    <t>Вебинар "Наиболее оптимальные средства при дистанционном обучении"</t>
  </si>
  <si>
    <t>Повышение квалификации руководителей образовательных организаций сферы культуры по программе "Правовое и учебно-методическое обеспечение новых форм организации образовательного процесса в ДШИ: компетенция, права, обязанности и ответственность образовательной организации"</t>
  </si>
  <si>
    <t>19-20.05.2020</t>
  </si>
  <si>
    <t>08-09.02.2020</t>
  </si>
  <si>
    <t>Открытый урок преп. Афанасьевой Т.А.
 «Воспитание интонационных и слуховых
 навыков в работе над художественным 
образом в музыкальных произведениях»
Открытый урок преп. Одинцовой Г.В. 
«Этапы работы над двухголосным 
хоровым произведением в младшем 
хоре»
Открытый урок преп. Наумовой Т.В. 
«Тембровая импровизация»</t>
  </si>
  <si>
    <t>Мастер-класс А.А.Гатауллина (баян, 
аккордеон) в рамках февральской сессии Образовательного центра Ю.Башмета в Ярославле
УМиИЦ, ЯМУ им. Собинова</t>
  </si>
  <si>
    <t>Мастер-класс Елены Попковой (фортепиано) в рамках мартовской сессии Образовательного центра Ю.Башмета в Ярославле
УМиИЦ, ЯМУ им. Собинова</t>
  </si>
  <si>
    <t>Участие ученицы 5 класса Масловой
 Екатерины (преп. Пермякова М.Б,) в
 мастер-классе1</t>
  </si>
  <si>
    <t>Мастер-класс Андрея Зубова (ударные инструменты) в рамках февральской сессии Образовательного центра Ю.Башмета в Ярославле
УМиИЦ, ЯМУ им. Собинова</t>
  </si>
  <si>
    <t>14-15.03.2020</t>
  </si>
  <si>
    <t>Вебинар "Освоение нотного редактора
 "Сибелиус-6"</t>
  </si>
  <si>
    <t>Вебинар "Освоение нотного редактора "Сибелиус-6"</t>
  </si>
  <si>
    <t>21-22.05.2020</t>
  </si>
  <si>
    <t>КПК по дополнительной профессиональной программе "Методы и формы обучения игре на электронных клавишных инструментах в условиях современного дистанционного образования"
1 модуль</t>
  </si>
  <si>
    <t>Участие ученика 4 класса Аверкина
 Даниила (преп. Недюжин М.А.) в 
мастер-классе</t>
  </si>
  <si>
    <t>Вебинар "Наиболее оптимальные 
средства для дистанционного обучения"
УМиИЦ</t>
  </si>
  <si>
    <t xml:space="preserve">Обучение в Российской академии музыки имени Гнесиных по теме: «Оперный певец: профессиональное и творческое развитие и долголетие» </t>
  </si>
  <si>
    <t>РАМ им. Гнисиных</t>
  </si>
  <si>
    <t xml:space="preserve">22-23.05.2020 </t>
  </si>
  <si>
    <t xml:space="preserve"> КПК по дополнительной профессиональной программе «История искусств. Мировая художественная культура»</t>
  </si>
  <si>
    <t xml:space="preserve">17-18.03.2020 </t>
  </si>
  <si>
    <t>22.10.2019 -
03.02.2020</t>
  </si>
  <si>
    <t>ЧУДПО Институт повышения квалификации "Конверсия" - Высшая школа бизнеса</t>
  </si>
  <si>
    <t>Профессиональная переподготовка          по программе «Преподаватель (педагог) дополнительного образования детей и взрослых по Ритмике»    с получением Диплома о профессиональной переподготовке</t>
  </si>
  <si>
    <t>Профессиональная переподготовка          по программе «Государственное        и муниципальное управление» - с получением Диплома о профессиональной переподготовке</t>
  </si>
  <si>
    <t>ЧУДПО Институт повышения
 квалификации "Конверсия" 
- Высшая школа бизнеса</t>
  </si>
  <si>
    <t>Профессиональная переподготовка  
 по программе «Преподаватель 
(педагог) дополнительного 
образования детей и взрослых по
 классу балалайки»    с получением 
Диплома о профессиональной
 переподготовке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</si>
</sst>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&quot; %&quot;"/>
    <numFmt numFmtId="166" formatCode="0&quot; чел.&quot;"/>
    <numFmt numFmtId="167" formatCode="[$-419]d\ 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Wingdings"/>
      <charset val="2"/>
    </font>
    <font>
      <sz val="10.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67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4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0" fillId="0" borderId="0" xfId="0" applyProtection="1"/>
    <xf numFmtId="0" fontId="2" fillId="0" borderId="0" xfId="0" applyFont="1" applyProtection="1"/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</xf>
    <xf numFmtId="0" fontId="8" fillId="0" borderId="0" xfId="0" applyFont="1" applyProtection="1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14" fontId="1" fillId="0" borderId="0" xfId="0" applyNumberFormat="1" applyFont="1" applyBorder="1" applyAlignment="1" applyProtection="1"/>
    <xf numFmtId="0" fontId="2" fillId="0" borderId="2" xfId="0" applyFont="1" applyFill="1" applyBorder="1" applyAlignment="1" applyProtection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1" fillId="0" borderId="0" xfId="0" applyFon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right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3" fillId="0" borderId="1" xfId="0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 vertical="center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166" fontId="1" fillId="0" borderId="2" xfId="0" applyNumberFormat="1" applyFont="1" applyBorder="1" applyAlignment="1" applyProtection="1">
      <alignment horizontal="center" vertical="center"/>
    </xf>
    <xf numFmtId="166" fontId="1" fillId="0" borderId="2" xfId="0" applyNumberFormat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14" fontId="1" fillId="0" borderId="2" xfId="0" applyNumberFormat="1" applyFont="1" applyBorder="1"/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>
      <alignment wrapText="1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Protection="1"/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/>
    <xf numFmtId="0" fontId="1" fillId="0" borderId="2" xfId="0" applyFont="1" applyBorder="1" applyAlignment="1" applyProtection="1">
      <alignment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 applyProtection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5" fillId="0" borderId="0" xfId="1" applyFont="1" applyAlignment="1" applyProtection="1">
      <alignment horizontal="left" vertical="center"/>
    </xf>
    <xf numFmtId="0" fontId="15" fillId="0" borderId="13" xfId="1" applyFont="1" applyBorder="1" applyAlignment="1" applyProtection="1">
      <alignment horizontal="center" wrapText="1"/>
    </xf>
    <xf numFmtId="0" fontId="15" fillId="0" borderId="1" xfId="1" applyFont="1" applyBorder="1" applyAlignment="1" applyProtection="1">
      <alignment horizontal="center" wrapText="1"/>
    </xf>
    <xf numFmtId="0" fontId="15" fillId="0" borderId="14" xfId="1" applyFont="1" applyBorder="1" applyAlignment="1" applyProtection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5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4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shkola.iskusstv10/" TargetMode="External"/><Relationship Id="rId7" Type="http://schemas.openxmlformats.org/officeDocument/2006/relationships/comments" Target="../comments17.xml"/><Relationship Id="rId2" Type="http://schemas.openxmlformats.org/officeDocument/2006/relationships/hyperlink" Target="https://vk.com/club135423836" TargetMode="External"/><Relationship Id="rId1" Type="http://schemas.openxmlformats.org/officeDocument/2006/relationships/hyperlink" Target="http://&#1103;&#1088;-&#1076;&#1096;&#1080;10.&#1088;&#1092;/" TargetMode="External"/><Relationship Id="rId6" Type="http://schemas.openxmlformats.org/officeDocument/2006/relationships/vmlDrawing" Target="../drawings/vmlDrawing17.vml"/><Relationship Id="rId5" Type="http://schemas.openxmlformats.org/officeDocument/2006/relationships/printerSettings" Target="../printerSettings/printerSettings24.bin"/><Relationship Id="rId4" Type="http://schemas.openxmlformats.org/officeDocument/2006/relationships/hyperlink" Target="https://ok.ru/group/55780035788821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O66"/>
  <sheetViews>
    <sheetView showWhiteSpace="0" view="pageLayout" topLeftCell="A25" workbookViewId="0">
      <selection activeCell="N55" sqref="N55"/>
    </sheetView>
  </sheetViews>
  <sheetFormatPr defaultRowHeight="15" x14ac:dyDescent="0.25"/>
  <cols>
    <col min="1" max="1" width="30" style="1" customWidth="1"/>
    <col min="2" max="2" width="6.28515625" style="1" customWidth="1"/>
    <col min="3" max="3" width="12.85546875" style="1" customWidth="1"/>
    <col min="4" max="4" width="10" style="1" customWidth="1"/>
    <col min="5" max="5" width="6.42578125" style="1" customWidth="1"/>
    <col min="6" max="6" width="7.85546875" style="1" customWidth="1"/>
    <col min="7" max="7" width="6.42578125" style="1" customWidth="1"/>
    <col min="8" max="8" width="7.85546875" style="1" customWidth="1"/>
    <col min="9" max="9" width="6.42578125" style="1" customWidth="1"/>
    <col min="10" max="10" width="7.85546875" style="1" customWidth="1"/>
    <col min="11" max="11" width="6.42578125" style="1" customWidth="1"/>
    <col min="12" max="12" width="7.85546875" style="1" customWidth="1"/>
    <col min="13" max="13" width="6.28515625" style="1" customWidth="1"/>
    <col min="14" max="14" width="7.85546875" style="1" customWidth="1"/>
    <col min="15" max="16384" width="9.140625" style="1"/>
  </cols>
  <sheetData>
    <row r="1" spans="1:15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3"/>
    </row>
    <row r="2" spans="1:15" x14ac:dyDescent="0.25">
      <c r="A2" s="176" t="s">
        <v>387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2"/>
    </row>
    <row r="3" spans="1:15" ht="12.75" customHeigh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x14ac:dyDescent="0.25">
      <c r="A4" s="177" t="s">
        <v>263</v>
      </c>
      <c r="B4" s="177"/>
      <c r="C4" s="177"/>
      <c r="D4" s="178" t="s">
        <v>386</v>
      </c>
      <c r="E4" s="178"/>
      <c r="F4" s="178"/>
      <c r="G4" s="178"/>
      <c r="H4" s="178"/>
      <c r="I4" s="178"/>
      <c r="J4" s="178"/>
      <c r="K4" s="72"/>
      <c r="L4" s="73"/>
      <c r="M4" s="72"/>
      <c r="N4" s="72"/>
    </row>
    <row r="5" spans="1:15" ht="12.75" customHeigh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5" ht="15" customHeight="1" x14ac:dyDescent="0.25">
      <c r="A6" s="174" t="s">
        <v>290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4"/>
    </row>
    <row r="7" spans="1:15" ht="12.75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5" ht="15" customHeight="1" x14ac:dyDescent="0.25">
      <c r="A8" s="169" t="s">
        <v>1</v>
      </c>
      <c r="B8" s="169" t="s">
        <v>2</v>
      </c>
      <c r="C8" s="169" t="s">
        <v>291</v>
      </c>
      <c r="D8" s="169" t="s">
        <v>299</v>
      </c>
      <c r="E8" s="169" t="s">
        <v>139</v>
      </c>
      <c r="F8" s="169"/>
      <c r="G8" s="169"/>
      <c r="H8" s="169"/>
      <c r="I8" s="169"/>
      <c r="J8" s="169"/>
      <c r="K8" s="169" t="s">
        <v>57</v>
      </c>
      <c r="L8" s="169"/>
      <c r="M8" s="169"/>
      <c r="N8" s="169"/>
    </row>
    <row r="9" spans="1:15" ht="38.25" customHeight="1" x14ac:dyDescent="0.25">
      <c r="A9" s="169"/>
      <c r="B9" s="169"/>
      <c r="C9" s="169"/>
      <c r="D9" s="169"/>
      <c r="E9" s="169" t="s">
        <v>93</v>
      </c>
      <c r="F9" s="169"/>
      <c r="G9" s="169" t="s">
        <v>293</v>
      </c>
      <c r="H9" s="169"/>
      <c r="I9" s="169" t="s">
        <v>294</v>
      </c>
      <c r="J9" s="169"/>
      <c r="K9" s="169" t="s">
        <v>93</v>
      </c>
      <c r="L9" s="169"/>
      <c r="M9" s="169" t="s">
        <v>380</v>
      </c>
      <c r="N9" s="169"/>
    </row>
    <row r="10" spans="1:15" ht="38.25" x14ac:dyDescent="0.25">
      <c r="A10" s="169"/>
      <c r="B10" s="169"/>
      <c r="C10" s="169"/>
      <c r="D10" s="169"/>
      <c r="E10" s="82" t="s">
        <v>161</v>
      </c>
      <c r="F10" s="83" t="s">
        <v>292</v>
      </c>
      <c r="G10" s="83" t="s">
        <v>161</v>
      </c>
      <c r="H10" s="82" t="s">
        <v>297</v>
      </c>
      <c r="I10" s="82" t="s">
        <v>161</v>
      </c>
      <c r="J10" s="83" t="s">
        <v>296</v>
      </c>
      <c r="K10" s="83" t="s">
        <v>161</v>
      </c>
      <c r="L10" s="82" t="s">
        <v>298</v>
      </c>
      <c r="M10" s="82" t="s">
        <v>161</v>
      </c>
      <c r="N10" s="83" t="s">
        <v>295</v>
      </c>
    </row>
    <row r="11" spans="1:15" ht="12.75" customHeight="1" x14ac:dyDescent="0.25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11</v>
      </c>
      <c r="L11" s="84">
        <v>12</v>
      </c>
      <c r="M11" s="84">
        <v>13</v>
      </c>
      <c r="N11" s="84">
        <v>14</v>
      </c>
    </row>
    <row r="12" spans="1:15" x14ac:dyDescent="0.25">
      <c r="A12" s="85" t="s">
        <v>3</v>
      </c>
      <c r="B12" s="86" t="s">
        <v>21</v>
      </c>
      <c r="C12" s="87">
        <f>E12+K12</f>
        <v>62</v>
      </c>
      <c r="D12" s="87"/>
      <c r="E12" s="87">
        <v>40</v>
      </c>
      <c r="F12" s="87">
        <v>40</v>
      </c>
      <c r="G12" s="87">
        <v>17</v>
      </c>
      <c r="H12" s="87">
        <v>17</v>
      </c>
      <c r="I12" s="87">
        <v>12</v>
      </c>
      <c r="J12" s="87">
        <v>12</v>
      </c>
      <c r="K12" s="87">
        <v>22</v>
      </c>
      <c r="L12" s="87">
        <v>22</v>
      </c>
      <c r="M12" s="87"/>
      <c r="N12" s="87"/>
    </row>
    <row r="13" spans="1:15" x14ac:dyDescent="0.25">
      <c r="A13" s="172" t="s">
        <v>4</v>
      </c>
      <c r="B13" s="173"/>
      <c r="C13" s="74">
        <f>C14+C15+C16+C17+C18+C19+C20</f>
        <v>67</v>
      </c>
      <c r="D13" s="74">
        <f t="shared" ref="D13:N13" si="0">D14+D15+D16+D17+D18+D19+D20</f>
        <v>0</v>
      </c>
      <c r="E13" s="74">
        <f t="shared" si="0"/>
        <v>40</v>
      </c>
      <c r="F13" s="74">
        <f t="shared" si="0"/>
        <v>40</v>
      </c>
      <c r="G13" s="74">
        <f t="shared" si="0"/>
        <v>20</v>
      </c>
      <c r="H13" s="74">
        <f t="shared" si="0"/>
        <v>20</v>
      </c>
      <c r="I13" s="74">
        <f t="shared" si="0"/>
        <v>18</v>
      </c>
      <c r="J13" s="74">
        <f t="shared" si="0"/>
        <v>18</v>
      </c>
      <c r="K13" s="74">
        <f t="shared" si="0"/>
        <v>27</v>
      </c>
      <c r="L13" s="74">
        <f t="shared" si="0"/>
        <v>27</v>
      </c>
      <c r="M13" s="74">
        <f t="shared" si="0"/>
        <v>0</v>
      </c>
      <c r="N13" s="74">
        <f t="shared" si="0"/>
        <v>0</v>
      </c>
    </row>
    <row r="14" spans="1:15" x14ac:dyDescent="0.25">
      <c r="A14" s="88" t="s">
        <v>64</v>
      </c>
      <c r="B14" s="86" t="s">
        <v>20</v>
      </c>
      <c r="C14" s="87">
        <f>E14+K14</f>
        <v>28</v>
      </c>
      <c r="D14" s="87"/>
      <c r="E14" s="87">
        <v>15</v>
      </c>
      <c r="F14" s="87">
        <v>15</v>
      </c>
      <c r="G14" s="87">
        <v>4</v>
      </c>
      <c r="H14" s="87">
        <v>4</v>
      </c>
      <c r="I14" s="87">
        <v>3</v>
      </c>
      <c r="J14" s="87">
        <v>3</v>
      </c>
      <c r="K14" s="87">
        <v>13</v>
      </c>
      <c r="L14" s="87">
        <v>13</v>
      </c>
      <c r="M14" s="87"/>
      <c r="N14" s="87"/>
    </row>
    <row r="15" spans="1:15" x14ac:dyDescent="0.25">
      <c r="A15" s="88" t="s">
        <v>65</v>
      </c>
      <c r="B15" s="86" t="s">
        <v>22</v>
      </c>
      <c r="C15" s="87">
        <f t="shared" ref="C15:C36" si="1">E15+K15</f>
        <v>2</v>
      </c>
      <c r="D15" s="87"/>
      <c r="E15" s="87">
        <v>2</v>
      </c>
      <c r="F15" s="87">
        <v>2</v>
      </c>
      <c r="G15" s="87">
        <v>2</v>
      </c>
      <c r="H15" s="87">
        <v>2</v>
      </c>
      <c r="I15" s="87">
        <v>2</v>
      </c>
      <c r="J15" s="87">
        <v>2</v>
      </c>
      <c r="K15" s="87"/>
      <c r="L15" s="87"/>
      <c r="M15" s="87"/>
      <c r="N15" s="87"/>
    </row>
    <row r="16" spans="1:15" x14ac:dyDescent="0.25">
      <c r="A16" s="88" t="s">
        <v>66</v>
      </c>
      <c r="B16" s="86" t="s">
        <v>23</v>
      </c>
      <c r="C16" s="87">
        <f t="shared" si="1"/>
        <v>20</v>
      </c>
      <c r="D16" s="87"/>
      <c r="E16" s="87">
        <v>15</v>
      </c>
      <c r="F16" s="87">
        <v>15</v>
      </c>
      <c r="G16" s="87">
        <v>5</v>
      </c>
      <c r="H16" s="87">
        <v>5</v>
      </c>
      <c r="I16" s="87">
        <v>5</v>
      </c>
      <c r="J16" s="87">
        <v>5</v>
      </c>
      <c r="K16" s="87">
        <v>5</v>
      </c>
      <c r="L16" s="87">
        <v>5</v>
      </c>
      <c r="M16" s="87"/>
      <c r="N16" s="87"/>
    </row>
    <row r="17" spans="1:14" x14ac:dyDescent="0.25">
      <c r="A17" s="88" t="s">
        <v>67</v>
      </c>
      <c r="B17" s="86" t="s">
        <v>24</v>
      </c>
      <c r="C17" s="87">
        <f t="shared" si="1"/>
        <v>4</v>
      </c>
      <c r="D17" s="87"/>
      <c r="E17" s="87"/>
      <c r="F17" s="87"/>
      <c r="G17" s="87"/>
      <c r="H17" s="87"/>
      <c r="I17" s="87"/>
      <c r="J17" s="87"/>
      <c r="K17" s="87">
        <v>4</v>
      </c>
      <c r="L17" s="87">
        <v>4</v>
      </c>
      <c r="M17" s="87"/>
      <c r="N17" s="87"/>
    </row>
    <row r="18" spans="1:14" x14ac:dyDescent="0.25">
      <c r="A18" s="88" t="s">
        <v>68</v>
      </c>
      <c r="B18" s="86" t="s">
        <v>25</v>
      </c>
      <c r="C18" s="87">
        <f t="shared" si="1"/>
        <v>13</v>
      </c>
      <c r="D18" s="87"/>
      <c r="E18" s="87">
        <v>8</v>
      </c>
      <c r="F18" s="87">
        <v>8</v>
      </c>
      <c r="G18" s="87">
        <v>9</v>
      </c>
      <c r="H18" s="87">
        <v>9</v>
      </c>
      <c r="I18" s="87">
        <v>8</v>
      </c>
      <c r="J18" s="87">
        <v>8</v>
      </c>
      <c r="K18" s="87">
        <v>5</v>
      </c>
      <c r="L18" s="87">
        <v>5</v>
      </c>
      <c r="M18" s="87"/>
      <c r="N18" s="87"/>
    </row>
    <row r="19" spans="1:14" x14ac:dyDescent="0.25">
      <c r="A19" s="88" t="s">
        <v>69</v>
      </c>
      <c r="B19" s="86" t="s">
        <v>26</v>
      </c>
      <c r="C19" s="87">
        <f t="shared" si="1"/>
        <v>0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x14ac:dyDescent="0.25">
      <c r="A20" s="88" t="s">
        <v>70</v>
      </c>
      <c r="B20" s="86" t="s">
        <v>27</v>
      </c>
      <c r="C20" s="87">
        <f t="shared" si="1"/>
        <v>0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x14ac:dyDescent="0.25">
      <c r="A21" s="172" t="s">
        <v>5</v>
      </c>
      <c r="B21" s="173"/>
      <c r="C21" s="74">
        <f>C22+C23+C24+C25+C26+C27+C28+C29+C30+C31</f>
        <v>0</v>
      </c>
      <c r="D21" s="74">
        <f t="shared" ref="D21:N21" si="2">D22+D23+D24+D25+D26+D27+D28+D29+D30+D31</f>
        <v>0</v>
      </c>
      <c r="E21" s="74">
        <f t="shared" si="2"/>
        <v>0</v>
      </c>
      <c r="F21" s="74">
        <f t="shared" si="2"/>
        <v>0</v>
      </c>
      <c r="G21" s="74">
        <f t="shared" si="2"/>
        <v>0</v>
      </c>
      <c r="H21" s="74">
        <f t="shared" si="2"/>
        <v>0</v>
      </c>
      <c r="I21" s="74">
        <f t="shared" si="2"/>
        <v>0</v>
      </c>
      <c r="J21" s="74">
        <f t="shared" si="2"/>
        <v>0</v>
      </c>
      <c r="K21" s="74">
        <f t="shared" si="2"/>
        <v>0</v>
      </c>
      <c r="L21" s="74">
        <f t="shared" si="2"/>
        <v>0</v>
      </c>
      <c r="M21" s="74">
        <f t="shared" si="2"/>
        <v>0</v>
      </c>
      <c r="N21" s="74">
        <f t="shared" si="2"/>
        <v>0</v>
      </c>
    </row>
    <row r="22" spans="1:14" x14ac:dyDescent="0.25">
      <c r="A22" s="88" t="s">
        <v>71</v>
      </c>
      <c r="B22" s="86" t="s">
        <v>28</v>
      </c>
      <c r="C22" s="87">
        <f t="shared" si="1"/>
        <v>0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x14ac:dyDescent="0.25">
      <c r="A23" s="88" t="s">
        <v>72</v>
      </c>
      <c r="B23" s="86" t="s">
        <v>29</v>
      </c>
      <c r="C23" s="87">
        <f t="shared" si="1"/>
        <v>0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 x14ac:dyDescent="0.25">
      <c r="A24" s="88" t="s">
        <v>73</v>
      </c>
      <c r="B24" s="86" t="s">
        <v>30</v>
      </c>
      <c r="C24" s="87">
        <f t="shared" si="1"/>
        <v>0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4" x14ac:dyDescent="0.25">
      <c r="A25" s="88" t="s">
        <v>74</v>
      </c>
      <c r="B25" s="86" t="s">
        <v>31</v>
      </c>
      <c r="C25" s="87">
        <f t="shared" si="1"/>
        <v>0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1:14" x14ac:dyDescent="0.25">
      <c r="A26" s="88" t="s">
        <v>75</v>
      </c>
      <c r="B26" s="86" t="s">
        <v>32</v>
      </c>
      <c r="C26" s="87">
        <f t="shared" si="1"/>
        <v>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x14ac:dyDescent="0.25">
      <c r="A27" s="88" t="s">
        <v>76</v>
      </c>
      <c r="B27" s="86" t="s">
        <v>33</v>
      </c>
      <c r="C27" s="87">
        <f t="shared" si="1"/>
        <v>0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x14ac:dyDescent="0.25">
      <c r="A28" s="88" t="s">
        <v>77</v>
      </c>
      <c r="B28" s="86" t="s">
        <v>34</v>
      </c>
      <c r="C28" s="87">
        <f t="shared" si="1"/>
        <v>0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1:14" x14ac:dyDescent="0.25">
      <c r="A29" s="88" t="s">
        <v>78</v>
      </c>
      <c r="B29" s="86" t="s">
        <v>35</v>
      </c>
      <c r="C29" s="87">
        <f t="shared" si="1"/>
        <v>0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1:14" x14ac:dyDescent="0.25">
      <c r="A30" s="88" t="s">
        <v>79</v>
      </c>
      <c r="B30" s="86" t="s">
        <v>36</v>
      </c>
      <c r="C30" s="87">
        <f t="shared" si="1"/>
        <v>0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1:14" x14ac:dyDescent="0.25">
      <c r="A31" s="88" t="s">
        <v>80</v>
      </c>
      <c r="B31" s="86" t="s">
        <v>37</v>
      </c>
      <c r="C31" s="87">
        <f t="shared" si="1"/>
        <v>0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14" x14ac:dyDescent="0.25">
      <c r="A32" s="172" t="s">
        <v>6</v>
      </c>
      <c r="B32" s="173"/>
      <c r="C32" s="74">
        <f>C33+C34+C35+C36</f>
        <v>6</v>
      </c>
      <c r="D32" s="74">
        <f t="shared" ref="D32:N32" si="3">D33+D34+D35+D36</f>
        <v>0</v>
      </c>
      <c r="E32" s="74">
        <f t="shared" si="3"/>
        <v>6</v>
      </c>
      <c r="F32" s="74">
        <f t="shared" si="3"/>
        <v>6</v>
      </c>
      <c r="G32" s="74">
        <f t="shared" si="3"/>
        <v>3</v>
      </c>
      <c r="H32" s="74">
        <f t="shared" si="3"/>
        <v>3</v>
      </c>
      <c r="I32" s="74">
        <f t="shared" si="3"/>
        <v>2</v>
      </c>
      <c r="J32" s="74">
        <f t="shared" si="3"/>
        <v>2</v>
      </c>
      <c r="K32" s="74">
        <f t="shared" si="3"/>
        <v>0</v>
      </c>
      <c r="L32" s="74">
        <f t="shared" si="3"/>
        <v>0</v>
      </c>
      <c r="M32" s="74">
        <f t="shared" si="3"/>
        <v>0</v>
      </c>
      <c r="N32" s="74">
        <f t="shared" si="3"/>
        <v>0</v>
      </c>
    </row>
    <row r="33" spans="1:14" x14ac:dyDescent="0.25">
      <c r="A33" s="88" t="s">
        <v>81</v>
      </c>
      <c r="B33" s="86" t="s">
        <v>38</v>
      </c>
      <c r="C33" s="87">
        <f t="shared" si="1"/>
        <v>6</v>
      </c>
      <c r="D33" s="87"/>
      <c r="E33" s="87">
        <v>6</v>
      </c>
      <c r="F33" s="87">
        <v>6</v>
      </c>
      <c r="G33" s="87">
        <v>3</v>
      </c>
      <c r="H33" s="87">
        <v>3</v>
      </c>
      <c r="I33" s="87">
        <v>2</v>
      </c>
      <c r="J33" s="87">
        <v>2</v>
      </c>
      <c r="K33" s="87"/>
      <c r="L33" s="87"/>
      <c r="M33" s="87"/>
      <c r="N33" s="87"/>
    </row>
    <row r="34" spans="1:14" x14ac:dyDescent="0.25">
      <c r="A34" s="88" t="s">
        <v>82</v>
      </c>
      <c r="B34" s="86" t="s">
        <v>39</v>
      </c>
      <c r="C34" s="87">
        <f t="shared" si="1"/>
        <v>0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x14ac:dyDescent="0.25">
      <c r="A35" s="88" t="s">
        <v>83</v>
      </c>
      <c r="B35" s="86" t="s">
        <v>40</v>
      </c>
      <c r="C35" s="87">
        <f t="shared" si="1"/>
        <v>0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x14ac:dyDescent="0.25">
      <c r="A36" s="88" t="s">
        <v>84</v>
      </c>
      <c r="B36" s="86" t="s">
        <v>41</v>
      </c>
      <c r="C36" s="87">
        <f t="shared" si="1"/>
        <v>0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x14ac:dyDescent="0.25">
      <c r="A37" s="172" t="s">
        <v>7</v>
      </c>
      <c r="B37" s="173"/>
      <c r="C37" s="74">
        <f>C38+C39</f>
        <v>9</v>
      </c>
      <c r="D37" s="74">
        <f>D38+D39</f>
        <v>0</v>
      </c>
      <c r="E37" s="74" t="s">
        <v>90</v>
      </c>
      <c r="F37" s="74" t="s">
        <v>90</v>
      </c>
      <c r="G37" s="74" t="s">
        <v>90</v>
      </c>
      <c r="H37" s="74" t="s">
        <v>90</v>
      </c>
      <c r="I37" s="74" t="s">
        <v>90</v>
      </c>
      <c r="J37" s="74" t="s">
        <v>90</v>
      </c>
      <c r="K37" s="74">
        <f t="shared" ref="K37:N37" si="4">K38+K39</f>
        <v>9</v>
      </c>
      <c r="L37" s="74">
        <f t="shared" si="4"/>
        <v>9</v>
      </c>
      <c r="M37" s="74">
        <f t="shared" si="4"/>
        <v>0</v>
      </c>
      <c r="N37" s="74">
        <f t="shared" si="4"/>
        <v>0</v>
      </c>
    </row>
    <row r="38" spans="1:14" x14ac:dyDescent="0.25">
      <c r="A38" s="88" t="s">
        <v>85</v>
      </c>
      <c r="B38" s="86" t="s">
        <v>42</v>
      </c>
      <c r="C38" s="87">
        <f>K38</f>
        <v>9</v>
      </c>
      <c r="D38" s="74"/>
      <c r="E38" s="74" t="s">
        <v>90</v>
      </c>
      <c r="F38" s="74" t="s">
        <v>90</v>
      </c>
      <c r="G38" s="87" t="s">
        <v>90</v>
      </c>
      <c r="H38" s="87" t="s">
        <v>90</v>
      </c>
      <c r="I38" s="87" t="s">
        <v>90</v>
      </c>
      <c r="J38" s="87" t="s">
        <v>90</v>
      </c>
      <c r="K38" s="87">
        <v>9</v>
      </c>
      <c r="L38" s="87">
        <v>9</v>
      </c>
      <c r="M38" s="87"/>
      <c r="N38" s="87"/>
    </row>
    <row r="39" spans="1:14" x14ac:dyDescent="0.25">
      <c r="A39" s="88" t="s">
        <v>86</v>
      </c>
      <c r="B39" s="86" t="s">
        <v>43</v>
      </c>
      <c r="C39" s="87">
        <f>K39</f>
        <v>0</v>
      </c>
      <c r="D39" s="74"/>
      <c r="E39" s="74" t="s">
        <v>90</v>
      </c>
      <c r="F39" s="74" t="s">
        <v>90</v>
      </c>
      <c r="G39" s="87" t="s">
        <v>90</v>
      </c>
      <c r="H39" s="87" t="s">
        <v>90</v>
      </c>
      <c r="I39" s="87" t="s">
        <v>90</v>
      </c>
      <c r="J39" s="87" t="s">
        <v>90</v>
      </c>
      <c r="K39" s="87"/>
      <c r="L39" s="87"/>
      <c r="M39" s="87"/>
      <c r="N39" s="87"/>
    </row>
    <row r="40" spans="1:14" x14ac:dyDescent="0.25">
      <c r="A40" s="85" t="s">
        <v>8</v>
      </c>
      <c r="B40" s="86" t="s">
        <v>44</v>
      </c>
      <c r="C40" s="87">
        <f t="shared" ref="C40:C47" si="5">E40+K40</f>
        <v>0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4" x14ac:dyDescent="0.25">
      <c r="A41" s="85" t="s">
        <v>9</v>
      </c>
      <c r="B41" s="86" t="s">
        <v>45</v>
      </c>
      <c r="C41" s="87">
        <f t="shared" si="5"/>
        <v>99</v>
      </c>
      <c r="D41" s="87"/>
      <c r="E41" s="87">
        <v>72</v>
      </c>
      <c r="F41" s="87">
        <v>72</v>
      </c>
      <c r="G41" s="87">
        <v>30</v>
      </c>
      <c r="H41" s="87">
        <v>30</v>
      </c>
      <c r="I41" s="87">
        <v>28</v>
      </c>
      <c r="J41" s="87">
        <v>28</v>
      </c>
      <c r="K41" s="87">
        <v>27</v>
      </c>
      <c r="L41" s="87">
        <v>27</v>
      </c>
      <c r="M41" s="87"/>
      <c r="N41" s="87"/>
    </row>
    <row r="42" spans="1:14" x14ac:dyDescent="0.25">
      <c r="A42" s="85" t="s">
        <v>10</v>
      </c>
      <c r="B42" s="86" t="s">
        <v>46</v>
      </c>
      <c r="C42" s="87">
        <f t="shared" si="5"/>
        <v>0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1:14" x14ac:dyDescent="0.25">
      <c r="A43" s="85" t="s">
        <v>11</v>
      </c>
      <c r="B43" s="86" t="s">
        <v>47</v>
      </c>
      <c r="C43" s="87">
        <f t="shared" si="5"/>
        <v>20</v>
      </c>
      <c r="D43" s="87"/>
      <c r="E43" s="87">
        <v>20</v>
      </c>
      <c r="F43" s="87">
        <v>20</v>
      </c>
      <c r="G43" s="87">
        <v>22</v>
      </c>
      <c r="H43" s="87">
        <v>22</v>
      </c>
      <c r="I43" s="87">
        <v>20</v>
      </c>
      <c r="J43" s="87">
        <v>20</v>
      </c>
      <c r="K43" s="87"/>
      <c r="L43" s="87"/>
      <c r="M43" s="87"/>
      <c r="N43" s="87"/>
    </row>
    <row r="44" spans="1:14" x14ac:dyDescent="0.25">
      <c r="A44" s="85" t="s">
        <v>278</v>
      </c>
      <c r="B44" s="86" t="s">
        <v>48</v>
      </c>
      <c r="C44" s="87">
        <f t="shared" si="5"/>
        <v>0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1:14" x14ac:dyDescent="0.25">
      <c r="A45" s="85" t="s">
        <v>12</v>
      </c>
      <c r="B45" s="86" t="s">
        <v>49</v>
      </c>
      <c r="C45" s="87">
        <f t="shared" si="5"/>
        <v>0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1:14" x14ac:dyDescent="0.25">
      <c r="A46" s="85" t="s">
        <v>13</v>
      </c>
      <c r="B46" s="86" t="s">
        <v>50</v>
      </c>
      <c r="C46" s="87">
        <f t="shared" si="5"/>
        <v>0</v>
      </c>
      <c r="D46" s="87"/>
      <c r="E46" s="87"/>
      <c r="F46" s="87"/>
      <c r="G46" s="89"/>
      <c r="H46" s="87"/>
      <c r="I46" s="89"/>
      <c r="J46" s="87"/>
      <c r="K46" s="89"/>
      <c r="L46" s="87"/>
      <c r="M46" s="89"/>
      <c r="N46" s="87"/>
    </row>
    <row r="47" spans="1:14" x14ac:dyDescent="0.25">
      <c r="A47" s="85" t="s">
        <v>14</v>
      </c>
      <c r="B47" s="86" t="s">
        <v>51</v>
      </c>
      <c r="C47" s="87">
        <f t="shared" si="5"/>
        <v>0</v>
      </c>
      <c r="D47" s="87"/>
      <c r="E47" s="87"/>
      <c r="F47" s="87"/>
      <c r="G47" s="89"/>
      <c r="H47" s="87"/>
      <c r="I47" s="89"/>
      <c r="J47" s="87"/>
      <c r="K47" s="89"/>
      <c r="L47" s="87"/>
      <c r="M47" s="89"/>
      <c r="N47" s="87"/>
    </row>
    <row r="48" spans="1:14" x14ac:dyDescent="0.25">
      <c r="A48" s="85" t="s">
        <v>15</v>
      </c>
      <c r="B48" s="86" t="s">
        <v>52</v>
      </c>
      <c r="C48" s="87">
        <f>K48</f>
        <v>0</v>
      </c>
      <c r="D48" s="74"/>
      <c r="E48" s="74" t="s">
        <v>90</v>
      </c>
      <c r="F48" s="74" t="s">
        <v>90</v>
      </c>
      <c r="G48" s="89" t="s">
        <v>90</v>
      </c>
      <c r="H48" s="89" t="s">
        <v>90</v>
      </c>
      <c r="I48" s="89" t="s">
        <v>90</v>
      </c>
      <c r="J48" s="89" t="s">
        <v>90</v>
      </c>
      <c r="K48" s="89"/>
      <c r="L48" s="87"/>
      <c r="M48" s="89"/>
      <c r="N48" s="87"/>
    </row>
    <row r="49" spans="1:14" x14ac:dyDescent="0.25">
      <c r="A49" s="85" t="s">
        <v>16</v>
      </c>
      <c r="B49" s="86" t="s">
        <v>53</v>
      </c>
      <c r="C49" s="87">
        <f t="shared" ref="C49:C52" si="6">K49</f>
        <v>10</v>
      </c>
      <c r="D49" s="74"/>
      <c r="E49" s="74" t="s">
        <v>90</v>
      </c>
      <c r="F49" s="74" t="s">
        <v>90</v>
      </c>
      <c r="G49" s="89" t="s">
        <v>90</v>
      </c>
      <c r="H49" s="89" t="s">
        <v>90</v>
      </c>
      <c r="I49" s="89" t="s">
        <v>90</v>
      </c>
      <c r="J49" s="89" t="s">
        <v>90</v>
      </c>
      <c r="K49" s="89">
        <v>10</v>
      </c>
      <c r="L49" s="87">
        <v>10</v>
      </c>
      <c r="M49" s="89"/>
      <c r="N49" s="87"/>
    </row>
    <row r="50" spans="1:14" x14ac:dyDescent="0.25">
      <c r="A50" s="85" t="s">
        <v>17</v>
      </c>
      <c r="B50" s="86" t="s">
        <v>54</v>
      </c>
      <c r="C50" s="87">
        <f t="shared" si="6"/>
        <v>0</v>
      </c>
      <c r="D50" s="74"/>
      <c r="E50" s="74" t="s">
        <v>90</v>
      </c>
      <c r="F50" s="74" t="s">
        <v>90</v>
      </c>
      <c r="G50" s="89" t="s">
        <v>90</v>
      </c>
      <c r="H50" s="89" t="s">
        <v>90</v>
      </c>
      <c r="I50" s="89" t="s">
        <v>90</v>
      </c>
      <c r="J50" s="89" t="s">
        <v>90</v>
      </c>
      <c r="K50" s="89"/>
      <c r="L50" s="87"/>
      <c r="M50" s="89"/>
      <c r="N50" s="87"/>
    </row>
    <row r="51" spans="1:14" x14ac:dyDescent="0.25">
      <c r="A51" s="85" t="s">
        <v>18</v>
      </c>
      <c r="B51" s="86" t="s">
        <v>55</v>
      </c>
      <c r="C51" s="87">
        <f t="shared" si="6"/>
        <v>0</v>
      </c>
      <c r="D51" s="74"/>
      <c r="E51" s="74" t="s">
        <v>90</v>
      </c>
      <c r="F51" s="74" t="s">
        <v>90</v>
      </c>
      <c r="G51" s="89" t="s">
        <v>90</v>
      </c>
      <c r="H51" s="89" t="s">
        <v>90</v>
      </c>
      <c r="I51" s="89" t="s">
        <v>90</v>
      </c>
      <c r="J51" s="89" t="s">
        <v>90</v>
      </c>
      <c r="K51" s="89"/>
      <c r="L51" s="87"/>
      <c r="M51" s="89"/>
      <c r="N51" s="87"/>
    </row>
    <row r="52" spans="1:14" x14ac:dyDescent="0.25">
      <c r="A52" s="172" t="s">
        <v>58</v>
      </c>
      <c r="B52" s="173"/>
      <c r="C52" s="87">
        <f t="shared" si="6"/>
        <v>104</v>
      </c>
      <c r="D52" s="74">
        <f>D53+D54+D55</f>
        <v>0</v>
      </c>
      <c r="E52" s="74" t="s">
        <v>90</v>
      </c>
      <c r="F52" s="74" t="s">
        <v>90</v>
      </c>
      <c r="G52" s="89" t="s">
        <v>90</v>
      </c>
      <c r="H52" s="89" t="s">
        <v>90</v>
      </c>
      <c r="I52" s="89" t="s">
        <v>90</v>
      </c>
      <c r="J52" s="89" t="s">
        <v>90</v>
      </c>
      <c r="K52" s="89">
        <f>K53+K54+K55</f>
        <v>104</v>
      </c>
      <c r="L52" s="87">
        <f>L53+L54+L55</f>
        <v>12</v>
      </c>
      <c r="M52" s="89">
        <f>M53+M54+M55</f>
        <v>92</v>
      </c>
      <c r="N52" s="87">
        <f>N53+N54+N55</f>
        <v>0</v>
      </c>
    </row>
    <row r="53" spans="1:14" x14ac:dyDescent="0.25">
      <c r="A53" s="88" t="s">
        <v>325</v>
      </c>
      <c r="B53" s="86" t="s">
        <v>56</v>
      </c>
      <c r="C53" s="87">
        <f>K53</f>
        <v>14</v>
      </c>
      <c r="D53" s="74"/>
      <c r="E53" s="74" t="s">
        <v>90</v>
      </c>
      <c r="F53" s="74" t="s">
        <v>90</v>
      </c>
      <c r="G53" s="89" t="s">
        <v>90</v>
      </c>
      <c r="H53" s="89" t="s">
        <v>90</v>
      </c>
      <c r="I53" s="89" t="s">
        <v>90</v>
      </c>
      <c r="J53" s="89" t="s">
        <v>90</v>
      </c>
      <c r="K53" s="111">
        <v>14</v>
      </c>
      <c r="L53" s="61">
        <v>0</v>
      </c>
      <c r="M53" s="111">
        <v>14</v>
      </c>
      <c r="N53" s="61">
        <v>0</v>
      </c>
    </row>
    <row r="54" spans="1:14" x14ac:dyDescent="0.25">
      <c r="A54" s="88" t="s">
        <v>326</v>
      </c>
      <c r="B54" s="86" t="s">
        <v>327</v>
      </c>
      <c r="C54" s="87">
        <f>K54</f>
        <v>66</v>
      </c>
      <c r="D54" s="74"/>
      <c r="E54" s="74" t="s">
        <v>90</v>
      </c>
      <c r="F54" s="74" t="s">
        <v>90</v>
      </c>
      <c r="G54" s="89" t="s">
        <v>90</v>
      </c>
      <c r="H54" s="89" t="s">
        <v>90</v>
      </c>
      <c r="I54" s="89" t="s">
        <v>90</v>
      </c>
      <c r="J54" s="89" t="s">
        <v>90</v>
      </c>
      <c r="K54" s="111">
        <v>66</v>
      </c>
      <c r="L54" s="61">
        <v>0</v>
      </c>
      <c r="M54" s="111">
        <v>66</v>
      </c>
      <c r="N54" s="61">
        <v>0</v>
      </c>
    </row>
    <row r="55" spans="1:14" x14ac:dyDescent="0.25">
      <c r="A55" s="88" t="s">
        <v>86</v>
      </c>
      <c r="B55" s="86" t="s">
        <v>328</v>
      </c>
      <c r="C55" s="87">
        <f>K55</f>
        <v>24</v>
      </c>
      <c r="D55" s="74"/>
      <c r="E55" s="74" t="s">
        <v>90</v>
      </c>
      <c r="F55" s="74" t="s">
        <v>90</v>
      </c>
      <c r="G55" s="89" t="s">
        <v>90</v>
      </c>
      <c r="H55" s="89" t="s">
        <v>90</v>
      </c>
      <c r="I55" s="89" t="s">
        <v>90</v>
      </c>
      <c r="J55" s="89" t="s">
        <v>90</v>
      </c>
      <c r="K55" s="111">
        <v>24</v>
      </c>
      <c r="L55" s="61">
        <v>12</v>
      </c>
      <c r="M55" s="111">
        <v>12</v>
      </c>
      <c r="N55" s="61">
        <v>0</v>
      </c>
    </row>
    <row r="56" spans="1:14" x14ac:dyDescent="0.25">
      <c r="A56" s="170" t="s">
        <v>19</v>
      </c>
      <c r="B56" s="171"/>
      <c r="C56" s="90">
        <f>C12+C13+C21+C32+C37+C40+C41+C42+C43+C44+C45+C46+C47+C48+C49+C50+C51+C52</f>
        <v>377</v>
      </c>
      <c r="D56" s="90">
        <f>D12+D13+D21+D32+D37+D40+D41+D42+D43+D44+D45+D46+D47+D48+D49+D50+D51+D52</f>
        <v>0</v>
      </c>
      <c r="E56" s="90">
        <f t="shared" ref="E56:J56" si="7">E12+E13+E21+E32+E40+E41+E42+E43+E44+E45+E46+E47</f>
        <v>178</v>
      </c>
      <c r="F56" s="90">
        <f t="shared" si="7"/>
        <v>178</v>
      </c>
      <c r="G56" s="90">
        <f t="shared" si="7"/>
        <v>92</v>
      </c>
      <c r="H56" s="90">
        <f t="shared" si="7"/>
        <v>92</v>
      </c>
      <c r="I56" s="90">
        <f t="shared" si="7"/>
        <v>80</v>
      </c>
      <c r="J56" s="90">
        <f t="shared" si="7"/>
        <v>80</v>
      </c>
      <c r="K56" s="90">
        <f>K12+K13+K21+K32+K37+K40+K41+K42+K43+K44+K45+K46+K47+K48+K49+K50+K51+K52</f>
        <v>199</v>
      </c>
      <c r="L56" s="90">
        <f>L12+L13+L21+L32+L37+L40+L41+L42+L43+L44+L45+L46+L47+L48+L49+L50+L51+L52</f>
        <v>107</v>
      </c>
      <c r="M56" s="90">
        <f>M12+M13+M21+M32+M37+M40+M41+M42+M43+M44+M45+M46+M47+M48+M49+M50+M51+M52</f>
        <v>92</v>
      </c>
      <c r="N56" s="90">
        <f>N12+N13+N21+N32+N37+N40+N41+N42+N43+N44+N45+N46+N47+N48+N49+N50+N51+N52</f>
        <v>0</v>
      </c>
    </row>
    <row r="57" spans="1:14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4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4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4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1:14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1:14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1:14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</sheetData>
  <sheetProtection password="CC43" sheet="1" objects="1" scenarios="1" selectLockedCells="1"/>
  <mergeCells count="22">
    <mergeCell ref="A6:N6"/>
    <mergeCell ref="A1:N1"/>
    <mergeCell ref="A2:N2"/>
    <mergeCell ref="A4:C4"/>
    <mergeCell ref="D4:J4"/>
    <mergeCell ref="A56:B56"/>
    <mergeCell ref="B8:B10"/>
    <mergeCell ref="A8:A10"/>
    <mergeCell ref="A13:B13"/>
    <mergeCell ref="A21:B21"/>
    <mergeCell ref="A32:B32"/>
    <mergeCell ref="A37:B37"/>
    <mergeCell ref="A52:B52"/>
    <mergeCell ref="C8:C10"/>
    <mergeCell ref="D8:D10"/>
    <mergeCell ref="K8:N8"/>
    <mergeCell ref="E8:J8"/>
    <mergeCell ref="K9:L9"/>
    <mergeCell ref="E9:F9"/>
    <mergeCell ref="G9:H9"/>
    <mergeCell ref="I9:J9"/>
    <mergeCell ref="M9:N9"/>
  </mergeCells>
  <dataValidations count="5">
    <dataValidation type="date" allowBlank="1" showErrorMessage="1" error="Введите дату рождения в формате &quot;день.месяц.год&quot;." sqref="L4:M4">
      <formula1>367</formula1>
      <formula2>36525</formula2>
    </dataValidation>
    <dataValidation type="whole" operator="lessThanOrEqual" allowBlank="1" showInputMessage="1" showErrorMessage="1" sqref="K52:K55 M52:M55">
      <formula1>1000</formula1>
    </dataValidation>
    <dataValidation type="whole" operator="lessThanOrEqual" allowBlank="1" showInputMessage="1" showErrorMessage="1" sqref="M48:M51 K48:K51">
      <formula1>100</formula1>
    </dataValidation>
    <dataValidation type="whole" operator="lessThanOrEqual" allowBlank="1" showInputMessage="1" showErrorMessage="1" sqref="F12 F14:F20 F22:F31 F33:F36 F40:F47 H12 J12 L12 N12 H14:H20 J14:J20 L14:L20 N14:N20 H22:H31 J22:J31 L22:L31 N22:N31 H33:H36 J33:J36 L33:L36 N33:N36 H40:H47 J40:J47 N52:N55 N38:N51 L38:L51 L52:L55">
      <formula1>E12</formula1>
    </dataValidation>
    <dataValidation type="whole" operator="lessThanOrEqual" allowBlank="1" showInputMessage="1" showErrorMessage="1" sqref="D12:D55">
      <formula1>15</formula1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ignoredErrors>
    <ignoredError sqref="B12 B44:B51 B14:B20 B22:B31 B33:B36 B38:B43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showWhiteSpace="0" view="pageLayout" topLeftCell="A28" workbookViewId="0">
      <selection activeCell="D30" sqref="D30"/>
    </sheetView>
  </sheetViews>
  <sheetFormatPr defaultRowHeight="12.75" x14ac:dyDescent="0.2"/>
  <cols>
    <col min="1" max="1" width="3.28515625" style="10" customWidth="1"/>
    <col min="2" max="2" width="16.42578125" style="10" customWidth="1"/>
    <col min="3" max="3" width="9" style="10" customWidth="1"/>
    <col min="4" max="4" width="14.7109375" style="10" customWidth="1"/>
    <col min="5" max="5" width="33.28515625" style="10" customWidth="1"/>
    <col min="6" max="6" width="8" style="10" customWidth="1"/>
    <col min="7" max="7" width="10.7109375" style="10" customWidth="1"/>
    <col min="8" max="8" width="8.85546875" style="10" customWidth="1"/>
    <col min="9" max="9" width="26.7109375" style="10" customWidth="1"/>
    <col min="10" max="16384" width="9.140625" style="10"/>
  </cols>
  <sheetData>
    <row r="1" spans="1:9" ht="15.75" x14ac:dyDescent="0.2">
      <c r="A1" s="179" t="s">
        <v>339</v>
      </c>
      <c r="B1" s="179"/>
      <c r="C1" s="179"/>
      <c r="D1" s="179"/>
      <c r="E1" s="179"/>
      <c r="F1" s="179"/>
      <c r="G1" s="179"/>
      <c r="H1" s="179"/>
      <c r="I1" s="179"/>
    </row>
    <row r="3" spans="1:9" ht="15" x14ac:dyDescent="0.2">
      <c r="A3" s="238" t="s">
        <v>146</v>
      </c>
      <c r="B3" s="238"/>
      <c r="C3" s="238"/>
      <c r="D3" s="138">
        <v>29</v>
      </c>
      <c r="E3" s="11"/>
      <c r="F3" s="11"/>
      <c r="G3" s="11"/>
      <c r="H3" s="11"/>
      <c r="I3" s="11"/>
    </row>
    <row r="5" spans="1:9" ht="67.5" customHeight="1" x14ac:dyDescent="0.2">
      <c r="A5" s="68" t="s">
        <v>147</v>
      </c>
      <c r="B5" s="68" t="s">
        <v>148</v>
      </c>
      <c r="C5" s="68" t="s">
        <v>149</v>
      </c>
      <c r="D5" s="68" t="s">
        <v>155</v>
      </c>
      <c r="E5" s="68" t="s">
        <v>261</v>
      </c>
      <c r="F5" s="68" t="s">
        <v>334</v>
      </c>
      <c r="G5" s="68" t="s">
        <v>150</v>
      </c>
      <c r="H5" s="68" t="s">
        <v>151</v>
      </c>
      <c r="I5" s="68" t="s">
        <v>152</v>
      </c>
    </row>
    <row r="6" spans="1:9" ht="127.5" x14ac:dyDescent="0.2">
      <c r="A6" s="12">
        <f>IF(1&lt;=D3,1,"")</f>
        <v>1</v>
      </c>
      <c r="B6" s="128" t="s">
        <v>386</v>
      </c>
      <c r="C6" s="17">
        <v>25428</v>
      </c>
      <c r="D6" s="19" t="s">
        <v>427</v>
      </c>
      <c r="E6" s="14" t="s">
        <v>404</v>
      </c>
      <c r="F6" s="156"/>
      <c r="G6" s="17">
        <v>42614</v>
      </c>
      <c r="H6" s="19" t="s">
        <v>428</v>
      </c>
      <c r="I6" s="114" t="s">
        <v>493</v>
      </c>
    </row>
    <row r="7" spans="1:9" ht="114.75" x14ac:dyDescent="0.2">
      <c r="A7" s="12">
        <f>IF(A6&lt;D3,2,"")</f>
        <v>2</v>
      </c>
      <c r="B7" s="128" t="s">
        <v>400</v>
      </c>
      <c r="C7" s="17">
        <v>26436</v>
      </c>
      <c r="D7" s="19" t="s">
        <v>429</v>
      </c>
      <c r="E7" s="14" t="s">
        <v>405</v>
      </c>
      <c r="F7" s="156"/>
      <c r="G7" s="17">
        <v>41883</v>
      </c>
      <c r="H7" s="19" t="s">
        <v>430</v>
      </c>
      <c r="I7" s="114" t="s">
        <v>333</v>
      </c>
    </row>
    <row r="8" spans="1:9" ht="140.25" x14ac:dyDescent="0.2">
      <c r="A8" s="12">
        <f>IF(A7&lt;D3,3,"")</f>
        <v>3</v>
      </c>
      <c r="B8" s="128" t="s">
        <v>407</v>
      </c>
      <c r="C8" s="17">
        <v>30788</v>
      </c>
      <c r="D8" s="19" t="s">
        <v>198</v>
      </c>
      <c r="E8" s="14" t="s">
        <v>431</v>
      </c>
      <c r="F8" s="156"/>
      <c r="G8" s="17">
        <v>37501</v>
      </c>
      <c r="H8" s="19" t="s">
        <v>430</v>
      </c>
      <c r="I8" s="114" t="s">
        <v>333</v>
      </c>
    </row>
    <row r="9" spans="1:9" ht="178.5" x14ac:dyDescent="0.2">
      <c r="A9" s="13">
        <f>IF(A8&lt;D3,4,"")</f>
        <v>4</v>
      </c>
      <c r="B9" s="15" t="s">
        <v>408</v>
      </c>
      <c r="C9" s="17">
        <v>21326</v>
      </c>
      <c r="D9" s="19" t="s">
        <v>433</v>
      </c>
      <c r="E9" s="14" t="s">
        <v>434</v>
      </c>
      <c r="F9" s="156"/>
      <c r="G9" s="17">
        <v>38961</v>
      </c>
      <c r="H9" s="19" t="s">
        <v>430</v>
      </c>
      <c r="I9" s="114" t="s">
        <v>333</v>
      </c>
    </row>
    <row r="10" spans="1:9" ht="114.75" x14ac:dyDescent="0.2">
      <c r="A10" s="13">
        <f>IF(A9&lt;D3,5,"")</f>
        <v>5</v>
      </c>
      <c r="B10" s="15" t="s">
        <v>409</v>
      </c>
      <c r="C10" s="17">
        <v>21382</v>
      </c>
      <c r="D10" s="19" t="s">
        <v>427</v>
      </c>
      <c r="E10" s="14" t="s">
        <v>435</v>
      </c>
      <c r="F10" s="156"/>
      <c r="G10" s="17">
        <v>30376</v>
      </c>
      <c r="H10" s="19" t="s">
        <v>428</v>
      </c>
      <c r="I10" s="114" t="s">
        <v>333</v>
      </c>
    </row>
    <row r="11" spans="1:9" ht="140.25" x14ac:dyDescent="0.2">
      <c r="A11" s="13">
        <v>6</v>
      </c>
      <c r="B11" s="15" t="s">
        <v>410</v>
      </c>
      <c r="C11" s="17">
        <v>22681</v>
      </c>
      <c r="D11" s="19" t="s">
        <v>429</v>
      </c>
      <c r="E11" s="14" t="s">
        <v>437</v>
      </c>
      <c r="F11" s="156"/>
      <c r="G11" s="17">
        <v>30926</v>
      </c>
      <c r="H11" s="19" t="s">
        <v>430</v>
      </c>
      <c r="I11" s="114" t="s">
        <v>333</v>
      </c>
    </row>
    <row r="12" spans="1:9" ht="114.75" x14ac:dyDescent="0.2">
      <c r="A12" s="13">
        <v>7</v>
      </c>
      <c r="B12" s="15" t="s">
        <v>411</v>
      </c>
      <c r="C12" s="18">
        <v>29775</v>
      </c>
      <c r="D12" s="19" t="s">
        <v>429</v>
      </c>
      <c r="E12" s="14" t="s">
        <v>438</v>
      </c>
      <c r="F12" s="156"/>
      <c r="G12" s="17">
        <v>36770</v>
      </c>
      <c r="H12" s="19" t="s">
        <v>432</v>
      </c>
      <c r="I12" s="114" t="s">
        <v>333</v>
      </c>
    </row>
    <row r="13" spans="1:9" ht="89.25" x14ac:dyDescent="0.2">
      <c r="A13" s="13">
        <v>8</v>
      </c>
      <c r="B13" s="15" t="s">
        <v>412</v>
      </c>
      <c r="C13" s="18">
        <v>19707</v>
      </c>
      <c r="D13" s="19" t="s">
        <v>427</v>
      </c>
      <c r="E13" s="14" t="s">
        <v>439</v>
      </c>
      <c r="F13" s="156"/>
      <c r="G13" s="17">
        <v>34578</v>
      </c>
      <c r="H13" s="19" t="s">
        <v>428</v>
      </c>
      <c r="I13" s="114" t="s">
        <v>333</v>
      </c>
    </row>
    <row r="14" spans="1:9" ht="127.5" x14ac:dyDescent="0.2">
      <c r="A14" s="13">
        <v>9</v>
      </c>
      <c r="B14" s="15" t="s">
        <v>413</v>
      </c>
      <c r="C14" s="18">
        <v>33017</v>
      </c>
      <c r="D14" s="19" t="s">
        <v>427</v>
      </c>
      <c r="E14" s="14" t="s">
        <v>440</v>
      </c>
      <c r="F14" s="156"/>
      <c r="G14" s="17">
        <v>40787</v>
      </c>
      <c r="H14" s="19" t="s">
        <v>428</v>
      </c>
      <c r="I14" s="114" t="s">
        <v>333</v>
      </c>
    </row>
    <row r="15" spans="1:9" ht="140.25" x14ac:dyDescent="0.2">
      <c r="A15" s="13">
        <v>10</v>
      </c>
      <c r="B15" s="15" t="s">
        <v>414</v>
      </c>
      <c r="C15" s="18">
        <v>29264</v>
      </c>
      <c r="D15" s="19" t="s">
        <v>427</v>
      </c>
      <c r="E15" s="14" t="s">
        <v>441</v>
      </c>
      <c r="F15" s="156"/>
      <c r="G15" s="17">
        <v>42979</v>
      </c>
      <c r="H15" s="19" t="s">
        <v>428</v>
      </c>
      <c r="I15" s="114" t="s">
        <v>333</v>
      </c>
    </row>
    <row r="16" spans="1:9" ht="255" x14ac:dyDescent="0.2">
      <c r="A16" s="13">
        <v>11</v>
      </c>
      <c r="B16" s="15" t="s">
        <v>415</v>
      </c>
      <c r="C16" s="18">
        <v>29905</v>
      </c>
      <c r="D16" s="19" t="s">
        <v>427</v>
      </c>
      <c r="E16" s="14" t="s">
        <v>442</v>
      </c>
      <c r="F16" s="156"/>
      <c r="G16" s="17">
        <v>42780</v>
      </c>
      <c r="H16" s="19" t="s">
        <v>428</v>
      </c>
      <c r="I16" s="114" t="s">
        <v>333</v>
      </c>
    </row>
    <row r="17" spans="1:9" ht="76.5" x14ac:dyDescent="0.2">
      <c r="A17" s="13">
        <v>12</v>
      </c>
      <c r="B17" s="15" t="s">
        <v>416</v>
      </c>
      <c r="C17" s="18">
        <v>19422</v>
      </c>
      <c r="D17" s="19" t="s">
        <v>181</v>
      </c>
      <c r="E17" s="14" t="s">
        <v>443</v>
      </c>
      <c r="F17" s="156"/>
      <c r="G17" s="17">
        <v>43344</v>
      </c>
      <c r="H17" s="19" t="s">
        <v>432</v>
      </c>
      <c r="I17" s="114" t="s">
        <v>333</v>
      </c>
    </row>
    <row r="18" spans="1:9" ht="63.75" x14ac:dyDescent="0.2">
      <c r="A18" s="13">
        <v>13</v>
      </c>
      <c r="B18" s="15" t="s">
        <v>417</v>
      </c>
      <c r="C18" s="18">
        <v>30339</v>
      </c>
      <c r="D18" s="19" t="s">
        <v>444</v>
      </c>
      <c r="E18" s="14" t="s">
        <v>445</v>
      </c>
      <c r="F18" s="156"/>
      <c r="G18" s="17">
        <v>43344</v>
      </c>
      <c r="H18" s="19" t="s">
        <v>428</v>
      </c>
      <c r="I18" s="114" t="s">
        <v>333</v>
      </c>
    </row>
    <row r="19" spans="1:9" ht="204" x14ac:dyDescent="0.2">
      <c r="A19" s="13">
        <v>14</v>
      </c>
      <c r="B19" s="15" t="s">
        <v>418</v>
      </c>
      <c r="C19" s="18">
        <v>20627</v>
      </c>
      <c r="D19" s="19" t="s">
        <v>427</v>
      </c>
      <c r="E19" s="14" t="s">
        <v>446</v>
      </c>
      <c r="F19" s="156"/>
      <c r="G19" s="17">
        <v>34562</v>
      </c>
      <c r="H19" s="19" t="s">
        <v>430</v>
      </c>
      <c r="I19" s="114" t="s">
        <v>333</v>
      </c>
    </row>
    <row r="20" spans="1:9" ht="127.5" x14ac:dyDescent="0.2">
      <c r="A20" s="13">
        <v>15</v>
      </c>
      <c r="B20" s="15" t="s">
        <v>419</v>
      </c>
      <c r="C20" s="18">
        <v>25465</v>
      </c>
      <c r="D20" s="19" t="s">
        <v>196</v>
      </c>
      <c r="E20" s="14" t="s">
        <v>447</v>
      </c>
      <c r="F20" s="156"/>
      <c r="G20" s="17">
        <v>35704</v>
      </c>
      <c r="H20" s="19" t="s">
        <v>430</v>
      </c>
      <c r="I20" s="114" t="s">
        <v>333</v>
      </c>
    </row>
    <row r="21" spans="1:9" ht="63.75" x14ac:dyDescent="0.2">
      <c r="A21" s="13">
        <v>16</v>
      </c>
      <c r="B21" s="15" t="s">
        <v>420</v>
      </c>
      <c r="C21" s="18">
        <v>22922</v>
      </c>
      <c r="D21" s="19" t="s">
        <v>427</v>
      </c>
      <c r="E21" s="14" t="s">
        <v>448</v>
      </c>
      <c r="F21" s="156"/>
      <c r="G21" s="17">
        <v>36404</v>
      </c>
      <c r="H21" s="19" t="s">
        <v>428</v>
      </c>
      <c r="I21" s="114" t="s">
        <v>333</v>
      </c>
    </row>
    <row r="22" spans="1:9" ht="89.25" x14ac:dyDescent="0.2">
      <c r="A22" s="13">
        <v>17</v>
      </c>
      <c r="B22" s="15" t="s">
        <v>421</v>
      </c>
      <c r="C22" s="18">
        <v>18448</v>
      </c>
      <c r="D22" s="19" t="s">
        <v>196</v>
      </c>
      <c r="E22" s="14" t="s">
        <v>449</v>
      </c>
      <c r="F22" s="156"/>
      <c r="G22" s="17">
        <v>29096</v>
      </c>
      <c r="H22" s="19" t="s">
        <v>428</v>
      </c>
      <c r="I22" s="114" t="s">
        <v>333</v>
      </c>
    </row>
    <row r="23" spans="1:9" ht="63.75" x14ac:dyDescent="0.2">
      <c r="A23" s="13">
        <v>18</v>
      </c>
      <c r="B23" s="15" t="s">
        <v>422</v>
      </c>
      <c r="C23" s="18">
        <v>22208</v>
      </c>
      <c r="D23" s="19" t="s">
        <v>427</v>
      </c>
      <c r="E23" s="14" t="s">
        <v>450</v>
      </c>
      <c r="F23" s="156"/>
      <c r="G23" s="17">
        <v>40422</v>
      </c>
      <c r="H23" s="19" t="s">
        <v>432</v>
      </c>
      <c r="I23" s="114" t="s">
        <v>333</v>
      </c>
    </row>
    <row r="24" spans="1:9" ht="204" x14ac:dyDescent="0.2">
      <c r="A24" s="13">
        <v>19</v>
      </c>
      <c r="B24" s="15" t="s">
        <v>423</v>
      </c>
      <c r="C24" s="17">
        <v>21454</v>
      </c>
      <c r="D24" s="19" t="s">
        <v>433</v>
      </c>
      <c r="E24" s="14" t="s">
        <v>451</v>
      </c>
      <c r="F24" s="156"/>
      <c r="G24" s="17">
        <v>34939</v>
      </c>
      <c r="H24" s="19" t="s">
        <v>430</v>
      </c>
      <c r="I24" s="114" t="s">
        <v>333</v>
      </c>
    </row>
    <row r="25" spans="1:9" ht="102" x14ac:dyDescent="0.2">
      <c r="A25" s="13">
        <v>20</v>
      </c>
      <c r="B25" s="15" t="s">
        <v>424</v>
      </c>
      <c r="C25" s="17">
        <v>19363</v>
      </c>
      <c r="D25" s="19" t="s">
        <v>427</v>
      </c>
      <c r="E25" s="14" t="s">
        <v>452</v>
      </c>
      <c r="F25" s="156"/>
      <c r="G25" s="17">
        <v>43344</v>
      </c>
      <c r="H25" s="19" t="s">
        <v>430</v>
      </c>
      <c r="I25" s="114" t="s">
        <v>333</v>
      </c>
    </row>
    <row r="26" spans="1:9" ht="140.25" x14ac:dyDescent="0.2">
      <c r="A26" s="13">
        <v>21</v>
      </c>
      <c r="B26" s="15" t="s">
        <v>425</v>
      </c>
      <c r="C26" s="17">
        <v>33010</v>
      </c>
      <c r="D26" s="19" t="s">
        <v>436</v>
      </c>
      <c r="E26" s="14" t="s">
        <v>453</v>
      </c>
      <c r="F26" s="156"/>
      <c r="G26" s="17">
        <v>43344</v>
      </c>
      <c r="H26" s="19" t="s">
        <v>432</v>
      </c>
      <c r="I26" s="114" t="s">
        <v>333</v>
      </c>
    </row>
    <row r="27" spans="1:9" ht="140.25" x14ac:dyDescent="0.2">
      <c r="A27" s="13">
        <v>22</v>
      </c>
      <c r="B27" s="93" t="s">
        <v>426</v>
      </c>
      <c r="C27" s="17">
        <v>26745</v>
      </c>
      <c r="D27" s="19" t="s">
        <v>198</v>
      </c>
      <c r="E27" s="14" t="s">
        <v>454</v>
      </c>
      <c r="F27" s="156"/>
      <c r="G27" s="17">
        <v>43344</v>
      </c>
      <c r="H27" s="19" t="s">
        <v>430</v>
      </c>
      <c r="I27" s="114" t="s">
        <v>333</v>
      </c>
    </row>
    <row r="28" spans="1:9" ht="76.5" x14ac:dyDescent="0.2">
      <c r="A28" s="13">
        <v>23</v>
      </c>
      <c r="B28" s="93" t="s">
        <v>494</v>
      </c>
      <c r="C28" s="17">
        <v>19033</v>
      </c>
      <c r="D28" s="19" t="s">
        <v>427</v>
      </c>
      <c r="E28" s="91" t="s">
        <v>495</v>
      </c>
      <c r="F28" s="156"/>
      <c r="G28" s="17">
        <v>43709</v>
      </c>
      <c r="H28" s="19" t="s">
        <v>428</v>
      </c>
      <c r="I28" s="114" t="s">
        <v>333</v>
      </c>
    </row>
    <row r="29" spans="1:9" ht="38.25" x14ac:dyDescent="0.2">
      <c r="A29" s="13">
        <v>24</v>
      </c>
      <c r="B29" s="93" t="s">
        <v>496</v>
      </c>
      <c r="C29" s="17">
        <v>36927</v>
      </c>
      <c r="D29" s="19" t="s">
        <v>436</v>
      </c>
      <c r="E29" s="91" t="s">
        <v>497</v>
      </c>
      <c r="F29" s="156"/>
      <c r="G29" s="17">
        <v>43709</v>
      </c>
      <c r="H29" s="19"/>
      <c r="I29" s="114" t="s">
        <v>333</v>
      </c>
    </row>
    <row r="30" spans="1:9" ht="76.5" x14ac:dyDescent="0.2">
      <c r="A30" s="13">
        <v>25</v>
      </c>
      <c r="B30" s="93" t="s">
        <v>498</v>
      </c>
      <c r="C30" s="17">
        <v>36944</v>
      </c>
      <c r="D30" s="19" t="s">
        <v>499</v>
      </c>
      <c r="E30" s="91" t="s">
        <v>500</v>
      </c>
      <c r="F30" s="156"/>
      <c r="G30" s="17">
        <v>43709</v>
      </c>
      <c r="H30" s="19" t="s">
        <v>430</v>
      </c>
      <c r="I30" s="114" t="s">
        <v>333</v>
      </c>
    </row>
    <row r="31" spans="1:9" ht="76.5" x14ac:dyDescent="0.2">
      <c r="A31" s="13">
        <v>26</v>
      </c>
      <c r="B31" s="93" t="s">
        <v>501</v>
      </c>
      <c r="C31" s="17">
        <v>31144</v>
      </c>
      <c r="D31" s="19" t="s">
        <v>502</v>
      </c>
      <c r="E31" s="91" t="s">
        <v>503</v>
      </c>
      <c r="F31" s="156"/>
      <c r="G31" s="17">
        <v>43741</v>
      </c>
      <c r="H31" s="19" t="s">
        <v>428</v>
      </c>
      <c r="I31" s="114" t="s">
        <v>333</v>
      </c>
    </row>
    <row r="32" spans="1:9" ht="38.25" x14ac:dyDescent="0.2">
      <c r="A32" s="13">
        <v>27</v>
      </c>
      <c r="B32" s="93" t="s">
        <v>504</v>
      </c>
      <c r="C32" s="17">
        <v>34781</v>
      </c>
      <c r="D32" s="19" t="s">
        <v>429</v>
      </c>
      <c r="E32" s="91" t="s">
        <v>505</v>
      </c>
      <c r="F32" s="156"/>
      <c r="G32" s="17">
        <v>43709</v>
      </c>
      <c r="H32" s="19" t="s">
        <v>428</v>
      </c>
      <c r="I32" s="114" t="s">
        <v>333</v>
      </c>
    </row>
    <row r="33" spans="1:9" ht="51" x14ac:dyDescent="0.2">
      <c r="A33" s="13">
        <v>28</v>
      </c>
      <c r="B33" s="93" t="s">
        <v>506</v>
      </c>
      <c r="C33" s="17">
        <v>36230</v>
      </c>
      <c r="D33" s="19" t="s">
        <v>502</v>
      </c>
      <c r="E33" s="91" t="s">
        <v>507</v>
      </c>
      <c r="F33" s="156"/>
      <c r="G33" s="17">
        <v>43741</v>
      </c>
      <c r="H33" s="19" t="s">
        <v>428</v>
      </c>
      <c r="I33" s="114" t="s">
        <v>333</v>
      </c>
    </row>
    <row r="34" spans="1:9" ht="114.75" x14ac:dyDescent="0.2">
      <c r="A34" s="13">
        <v>29</v>
      </c>
      <c r="B34" s="93" t="s">
        <v>509</v>
      </c>
      <c r="C34" s="17">
        <v>33593</v>
      </c>
      <c r="D34" s="19" t="s">
        <v>195</v>
      </c>
      <c r="E34" s="91" t="s">
        <v>510</v>
      </c>
      <c r="F34" s="156"/>
      <c r="G34" s="17">
        <v>43862</v>
      </c>
      <c r="H34" s="19" t="s">
        <v>428</v>
      </c>
      <c r="I34" s="114" t="s">
        <v>333</v>
      </c>
    </row>
    <row r="35" spans="1:9" x14ac:dyDescent="0.2">
      <c r="A35" s="13" t="str">
        <f>IF(A34&lt;D3,38,"")</f>
        <v/>
      </c>
      <c r="B35" s="93"/>
      <c r="C35" s="17"/>
      <c r="D35" s="19"/>
      <c r="E35" s="91"/>
      <c r="F35" s="19"/>
      <c r="G35" s="17"/>
      <c r="H35" s="19"/>
      <c r="I35" s="114"/>
    </row>
    <row r="36" spans="1:9" x14ac:dyDescent="0.2">
      <c r="A36" s="13" t="str">
        <f>IF(A35&lt;D3,39,"")</f>
        <v/>
      </c>
      <c r="B36" s="93"/>
      <c r="C36" s="17"/>
      <c r="D36" s="19"/>
      <c r="E36" s="91"/>
      <c r="F36" s="19"/>
      <c r="G36" s="17"/>
      <c r="H36" s="19"/>
      <c r="I36" s="114"/>
    </row>
    <row r="37" spans="1:9" x14ac:dyDescent="0.2">
      <c r="A37" s="13" t="str">
        <f>IF(A36&lt;D3,40,"")</f>
        <v/>
      </c>
      <c r="B37" s="93"/>
      <c r="C37" s="17"/>
      <c r="D37" s="19"/>
      <c r="E37" s="91"/>
      <c r="F37" s="19"/>
      <c r="G37" s="17"/>
      <c r="H37" s="19"/>
      <c r="I37" s="114"/>
    </row>
    <row r="38" spans="1:9" x14ac:dyDescent="0.2">
      <c r="A38" s="13" t="str">
        <f>IF(A37&lt;D3,41,"")</f>
        <v/>
      </c>
      <c r="B38" s="93"/>
      <c r="C38" s="17"/>
      <c r="D38" s="19"/>
      <c r="E38" s="91"/>
      <c r="F38" s="19"/>
      <c r="G38" s="17"/>
      <c r="H38" s="19"/>
      <c r="I38" s="114"/>
    </row>
    <row r="39" spans="1:9" x14ac:dyDescent="0.2">
      <c r="A39" s="13" t="str">
        <f>IF(A38&lt;D3,42,"")</f>
        <v/>
      </c>
      <c r="B39" s="93"/>
      <c r="C39" s="17"/>
      <c r="D39" s="19"/>
      <c r="E39" s="91"/>
      <c r="F39" s="19"/>
      <c r="G39" s="17"/>
      <c r="H39" s="19"/>
      <c r="I39" s="114"/>
    </row>
    <row r="40" spans="1:9" x14ac:dyDescent="0.2">
      <c r="A40" s="13" t="str">
        <f>IF(A39&lt;D3,43,"")</f>
        <v/>
      </c>
      <c r="B40" s="93"/>
      <c r="C40" s="17"/>
      <c r="D40" s="19"/>
      <c r="E40" s="91"/>
      <c r="F40" s="19"/>
      <c r="G40" s="17"/>
      <c r="H40" s="19"/>
      <c r="I40" s="114"/>
    </row>
    <row r="41" spans="1:9" x14ac:dyDescent="0.2">
      <c r="A41" s="13" t="str">
        <f>IF(A40&lt;D3,44,"")</f>
        <v/>
      </c>
      <c r="B41" s="93"/>
      <c r="C41" s="17"/>
      <c r="D41" s="19"/>
      <c r="E41" s="91"/>
      <c r="F41" s="19"/>
      <c r="G41" s="17"/>
      <c r="H41" s="19"/>
      <c r="I41" s="114"/>
    </row>
    <row r="42" spans="1:9" x14ac:dyDescent="0.2">
      <c r="A42" s="13" t="str">
        <f>IF(A41&lt;D3,45,"")</f>
        <v/>
      </c>
      <c r="B42" s="93"/>
      <c r="C42" s="17"/>
      <c r="D42" s="19"/>
      <c r="E42" s="91"/>
      <c r="F42" s="19"/>
      <c r="G42" s="17"/>
      <c r="H42" s="19"/>
      <c r="I42" s="114"/>
    </row>
    <row r="43" spans="1:9" x14ac:dyDescent="0.2">
      <c r="A43" s="13" t="str">
        <f>IF(A42&lt;D3,46,"")</f>
        <v/>
      </c>
      <c r="B43" s="93"/>
      <c r="C43" s="17"/>
      <c r="D43" s="19"/>
      <c r="E43" s="91"/>
      <c r="F43" s="19"/>
      <c r="G43" s="17"/>
      <c r="H43" s="19"/>
      <c r="I43" s="114"/>
    </row>
    <row r="44" spans="1:9" x14ac:dyDescent="0.2">
      <c r="A44" s="13" t="str">
        <f>IF(A43&lt;D3,47,"")</f>
        <v/>
      </c>
      <c r="B44" s="93"/>
      <c r="C44" s="17"/>
      <c r="D44" s="19"/>
      <c r="E44" s="91"/>
      <c r="F44" s="19"/>
      <c r="G44" s="17"/>
      <c r="H44" s="19"/>
      <c r="I44" s="114"/>
    </row>
    <row r="45" spans="1:9" x14ac:dyDescent="0.2">
      <c r="A45" s="13" t="str">
        <f>IF(A44&lt;D3,48,"")</f>
        <v/>
      </c>
      <c r="B45" s="93"/>
      <c r="C45" s="17"/>
      <c r="D45" s="19"/>
      <c r="E45" s="91"/>
      <c r="F45" s="19"/>
      <c r="G45" s="17"/>
      <c r="H45" s="19"/>
      <c r="I45" s="114"/>
    </row>
    <row r="46" spans="1:9" x14ac:dyDescent="0.2">
      <c r="A46" s="13" t="str">
        <f>IF(A45&lt;D3,49,"")</f>
        <v/>
      </c>
      <c r="B46" s="93"/>
      <c r="C46" s="17"/>
      <c r="D46" s="19"/>
      <c r="E46" s="91"/>
      <c r="F46" s="19"/>
      <c r="G46" s="17"/>
      <c r="H46" s="19"/>
      <c r="I46" s="114"/>
    </row>
    <row r="47" spans="1:9" x14ac:dyDescent="0.2">
      <c r="A47" s="13" t="str">
        <f>IF(A46&lt;D3,50,"")</f>
        <v/>
      </c>
      <c r="B47" s="93"/>
      <c r="C47" s="17"/>
      <c r="D47" s="19"/>
      <c r="E47" s="91"/>
      <c r="F47" s="19"/>
      <c r="G47" s="17"/>
      <c r="H47" s="19"/>
      <c r="I47" s="114"/>
    </row>
    <row r="48" spans="1:9" x14ac:dyDescent="0.2">
      <c r="A48" s="13" t="str">
        <f>IF(A47&lt;D3,51,"")</f>
        <v/>
      </c>
      <c r="B48" s="93"/>
      <c r="C48" s="17"/>
      <c r="D48" s="19"/>
      <c r="E48" s="91"/>
      <c r="F48" s="19"/>
      <c r="G48" s="17"/>
      <c r="H48" s="19"/>
      <c r="I48" s="114"/>
    </row>
    <row r="49" spans="1:9" x14ac:dyDescent="0.2">
      <c r="A49" s="13" t="str">
        <f>IF(A48&lt;D3,52,"")</f>
        <v/>
      </c>
      <c r="B49" s="93"/>
      <c r="C49" s="17"/>
      <c r="D49" s="19"/>
      <c r="E49" s="91"/>
      <c r="F49" s="19"/>
      <c r="G49" s="17"/>
      <c r="H49" s="19"/>
      <c r="I49" s="114"/>
    </row>
    <row r="50" spans="1:9" x14ac:dyDescent="0.2">
      <c r="A50" s="13" t="str">
        <f>IF(A49&lt;D3,53,"")</f>
        <v/>
      </c>
      <c r="B50" s="93"/>
      <c r="C50" s="17"/>
      <c r="D50" s="19"/>
      <c r="E50" s="91"/>
      <c r="F50" s="19"/>
      <c r="G50" s="17"/>
      <c r="H50" s="19"/>
      <c r="I50" s="114"/>
    </row>
    <row r="51" spans="1:9" x14ac:dyDescent="0.2">
      <c r="A51" s="13" t="str">
        <f>IF(A50&lt;D3,54,"")</f>
        <v/>
      </c>
      <c r="B51" s="93"/>
      <c r="C51" s="17"/>
      <c r="D51" s="19"/>
      <c r="E51" s="91"/>
      <c r="F51" s="19"/>
      <c r="G51" s="17"/>
      <c r="H51" s="19"/>
      <c r="I51" s="114"/>
    </row>
    <row r="52" spans="1:9" x14ac:dyDescent="0.2">
      <c r="A52" s="13" t="str">
        <f>IF(A51&lt;D3,55,"")</f>
        <v/>
      </c>
      <c r="B52" s="93"/>
      <c r="C52" s="17"/>
      <c r="D52" s="19"/>
      <c r="E52" s="91"/>
      <c r="F52" s="19"/>
      <c r="G52" s="17"/>
      <c r="H52" s="19"/>
      <c r="I52" s="114"/>
    </row>
    <row r="53" spans="1:9" x14ac:dyDescent="0.2">
      <c r="A53" s="13" t="str">
        <f>IF(A52&lt;D3,56,"")</f>
        <v/>
      </c>
      <c r="B53" s="93"/>
      <c r="C53" s="17"/>
      <c r="D53" s="19"/>
      <c r="E53" s="91"/>
      <c r="F53" s="19"/>
      <c r="G53" s="17"/>
      <c r="H53" s="19"/>
      <c r="I53" s="114"/>
    </row>
    <row r="54" spans="1:9" x14ac:dyDescent="0.2">
      <c r="A54" s="13" t="str">
        <f>IF(A53&lt;D3,57,"")</f>
        <v/>
      </c>
      <c r="B54" s="93"/>
      <c r="C54" s="17"/>
      <c r="D54" s="19"/>
      <c r="E54" s="91"/>
      <c r="F54" s="19"/>
      <c r="G54" s="17"/>
      <c r="H54" s="19"/>
      <c r="I54" s="114"/>
    </row>
    <row r="55" spans="1:9" x14ac:dyDescent="0.2">
      <c r="A55" s="13" t="str">
        <f>IF(A54&lt;D3,58,"")</f>
        <v/>
      </c>
      <c r="B55" s="93"/>
      <c r="C55" s="17"/>
      <c r="D55" s="19"/>
      <c r="E55" s="91"/>
      <c r="F55" s="19"/>
      <c r="G55" s="17"/>
      <c r="H55" s="19"/>
      <c r="I55" s="114"/>
    </row>
    <row r="56" spans="1:9" x14ac:dyDescent="0.2">
      <c r="A56" s="13" t="str">
        <f>IF(A55&lt;D3,59,"")</f>
        <v/>
      </c>
      <c r="B56" s="93"/>
      <c r="C56" s="17"/>
      <c r="D56" s="19"/>
      <c r="E56" s="91"/>
      <c r="F56" s="19"/>
      <c r="G56" s="17"/>
      <c r="H56" s="19"/>
      <c r="I56" s="114"/>
    </row>
    <row r="57" spans="1:9" x14ac:dyDescent="0.2">
      <c r="A57" s="13" t="str">
        <f>IF(A56&lt;D3,60,"")</f>
        <v/>
      </c>
      <c r="B57" s="93"/>
      <c r="C57" s="17"/>
      <c r="D57" s="19"/>
      <c r="E57" s="91"/>
      <c r="F57" s="19"/>
      <c r="G57" s="17"/>
      <c r="H57" s="19"/>
      <c r="I57" s="114"/>
    </row>
  </sheetData>
  <sheetProtection formatCells="0" selectLockedCells="1"/>
  <mergeCells count="2">
    <mergeCell ref="A1:I1"/>
    <mergeCell ref="A3:C3"/>
  </mergeCells>
  <conditionalFormatting sqref="B6:I57">
    <cfRule type="cellIs" dxfId="36" priority="7" operator="greaterThan">
      <formula>0</formula>
    </cfRule>
  </conditionalFormatting>
  <conditionalFormatting sqref="A6:A57">
    <cfRule type="cellIs" dxfId="35" priority="15" operator="between">
      <formula>1</formula>
      <formula>60</formula>
    </cfRule>
  </conditionalFormatting>
  <dataValidations count="4">
    <dataValidation type="list" allowBlank="1" showInputMessage="1" showErrorMessage="1" sqref="H6:H57">
      <formula1>"Высшая, Первая, Без категории"</formula1>
    </dataValidation>
    <dataValidation type="decimal" allowBlank="1" showErrorMessage="1" error="Введите стаж педагогической работы преподавателя в формате &quot;Кол-во лет&quot;." sqref="F6:F57">
      <formula1>0</formula1>
      <formula2>80</formula2>
    </dataValidation>
    <dataValidation type="date" allowBlank="1" showErrorMessage="1" error="Введите дату рождения в формате &quot;день.месяц.год&quot;." sqref="C6:C57">
      <formula1>1</formula1>
      <formula2>37621</formula2>
    </dataValidation>
    <dataValidation type="whole" operator="lessThanOrEqual" allowBlank="1" showInputMessage="1" showErrorMessage="1" sqref="D3">
      <formula1>60</formula1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showWhiteSpace="0" view="pageLayout" topLeftCell="A8" workbookViewId="0">
      <selection activeCell="I11" sqref="I11"/>
    </sheetView>
  </sheetViews>
  <sheetFormatPr defaultRowHeight="15" x14ac:dyDescent="0.25"/>
  <cols>
    <col min="1" max="1" width="3.28515625" customWidth="1"/>
    <col min="2" max="2" width="16.42578125" customWidth="1"/>
    <col min="3" max="3" width="9" customWidth="1"/>
    <col min="4" max="4" width="15.28515625" customWidth="1"/>
    <col min="5" max="5" width="33.28515625" customWidth="1"/>
    <col min="6" max="6" width="8" customWidth="1"/>
    <col min="7" max="7" width="10.7109375" customWidth="1"/>
    <col min="8" max="8" width="8.85546875" customWidth="1"/>
    <col min="9" max="9" width="26.140625" customWidth="1"/>
  </cols>
  <sheetData>
    <row r="1" spans="1:9" ht="15.75" x14ac:dyDescent="0.25">
      <c r="A1" s="179" t="s">
        <v>340</v>
      </c>
      <c r="B1" s="179"/>
      <c r="C1" s="179"/>
      <c r="D1" s="179"/>
      <c r="E1" s="179"/>
      <c r="F1" s="179"/>
      <c r="G1" s="179"/>
      <c r="H1" s="179"/>
      <c r="I1" s="179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238" t="s">
        <v>156</v>
      </c>
      <c r="B3" s="238"/>
      <c r="C3" s="238"/>
      <c r="D3" s="9">
        <v>6</v>
      </c>
      <c r="E3" s="11"/>
      <c r="F3" s="11"/>
      <c r="G3" s="11"/>
      <c r="H3" s="11"/>
      <c r="I3" s="11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ht="75.75" customHeight="1" x14ac:dyDescent="0.25">
      <c r="A5" s="68" t="s">
        <v>147</v>
      </c>
      <c r="B5" s="68" t="s">
        <v>148</v>
      </c>
      <c r="C5" s="68" t="s">
        <v>149</v>
      </c>
      <c r="D5" s="68" t="s">
        <v>335</v>
      </c>
      <c r="E5" s="68" t="s">
        <v>261</v>
      </c>
      <c r="F5" s="68" t="s">
        <v>336</v>
      </c>
      <c r="G5" s="68" t="s">
        <v>150</v>
      </c>
      <c r="H5" s="68" t="s">
        <v>151</v>
      </c>
      <c r="I5" s="68" t="s">
        <v>152</v>
      </c>
    </row>
    <row r="6" spans="1:9" ht="127.5" x14ac:dyDescent="0.25">
      <c r="A6" s="12">
        <f>IF(1&lt;=D3,1,"")</f>
        <v>1</v>
      </c>
      <c r="B6" s="14" t="s">
        <v>413</v>
      </c>
      <c r="C6" s="17">
        <v>32652</v>
      </c>
      <c r="D6" s="19" t="s">
        <v>456</v>
      </c>
      <c r="E6" s="14" t="s">
        <v>440</v>
      </c>
      <c r="F6" s="156"/>
      <c r="G6" s="17">
        <v>40787</v>
      </c>
      <c r="H6" s="19" t="s">
        <v>432</v>
      </c>
      <c r="I6" s="114" t="s">
        <v>333</v>
      </c>
    </row>
    <row r="7" spans="1:9" ht="255" x14ac:dyDescent="0.25">
      <c r="A7" s="12">
        <f>IF(A6&lt;D3,2,"")</f>
        <v>2</v>
      </c>
      <c r="B7" s="14" t="s">
        <v>415</v>
      </c>
      <c r="C7" s="17">
        <v>29905</v>
      </c>
      <c r="D7" s="19" t="s">
        <v>457</v>
      </c>
      <c r="E7" s="14" t="s">
        <v>442</v>
      </c>
      <c r="F7" s="156"/>
      <c r="G7" s="17">
        <v>42780</v>
      </c>
      <c r="H7" s="19" t="s">
        <v>428</v>
      </c>
      <c r="I7" s="114" t="s">
        <v>333</v>
      </c>
    </row>
    <row r="8" spans="1:9" ht="140.25" x14ac:dyDescent="0.25">
      <c r="A8" s="12">
        <f>IF(A7&lt;D3,3,"")</f>
        <v>3</v>
      </c>
      <c r="B8" s="14" t="s">
        <v>455</v>
      </c>
      <c r="C8" s="17">
        <v>32180</v>
      </c>
      <c r="D8" s="19" t="s">
        <v>458</v>
      </c>
      <c r="E8" s="14" t="s">
        <v>459</v>
      </c>
      <c r="F8" s="156"/>
      <c r="G8" s="17">
        <v>42979</v>
      </c>
      <c r="H8" s="19" t="s">
        <v>430</v>
      </c>
      <c r="I8" s="114" t="s">
        <v>333</v>
      </c>
    </row>
    <row r="9" spans="1:9" ht="38.25" x14ac:dyDescent="0.25">
      <c r="A9" s="13">
        <f>IF(A8&lt;D3,4,"")</f>
        <v>4</v>
      </c>
      <c r="B9" s="93" t="s">
        <v>512</v>
      </c>
      <c r="C9" s="17">
        <v>36978</v>
      </c>
      <c r="D9" s="19" t="s">
        <v>460</v>
      </c>
      <c r="E9" s="91" t="s">
        <v>508</v>
      </c>
      <c r="F9" s="156"/>
      <c r="G9" s="17">
        <v>43770</v>
      </c>
      <c r="H9" s="19" t="s">
        <v>428</v>
      </c>
      <c r="I9" s="114" t="s">
        <v>333</v>
      </c>
    </row>
    <row r="10" spans="1:9" ht="38.25" x14ac:dyDescent="0.25">
      <c r="A10" s="13">
        <f>IF(A9&lt;D3,5,"")</f>
        <v>5</v>
      </c>
      <c r="B10" s="93" t="s">
        <v>504</v>
      </c>
      <c r="C10" s="17">
        <v>34781</v>
      </c>
      <c r="D10" s="19" t="s">
        <v>461</v>
      </c>
      <c r="E10" s="91" t="s">
        <v>505</v>
      </c>
      <c r="F10" s="156"/>
      <c r="G10" s="17">
        <v>43709</v>
      </c>
      <c r="H10" s="19" t="s">
        <v>428</v>
      </c>
      <c r="I10" s="114" t="s">
        <v>333</v>
      </c>
    </row>
    <row r="11" spans="1:9" ht="76.5" x14ac:dyDescent="0.25">
      <c r="A11" s="13">
        <f>IF(A10&lt;D3,6,"")</f>
        <v>6</v>
      </c>
      <c r="B11" s="93" t="s">
        <v>513</v>
      </c>
      <c r="C11" s="17">
        <v>19033</v>
      </c>
      <c r="D11" s="19" t="s">
        <v>433</v>
      </c>
      <c r="E11" s="91" t="s">
        <v>495</v>
      </c>
      <c r="F11" s="156"/>
      <c r="G11" s="17">
        <v>43709</v>
      </c>
      <c r="H11" s="19" t="s">
        <v>428</v>
      </c>
      <c r="I11" s="114" t="s">
        <v>333</v>
      </c>
    </row>
    <row r="12" spans="1:9" x14ac:dyDescent="0.25">
      <c r="A12" s="13" t="str">
        <f>IF(A11&lt;D3,7,"")</f>
        <v/>
      </c>
      <c r="B12" s="15"/>
      <c r="C12" s="17"/>
      <c r="D12" s="19"/>
      <c r="E12" s="14"/>
      <c r="F12" s="19"/>
      <c r="G12" s="17"/>
      <c r="H12" s="19"/>
      <c r="I12" s="114"/>
    </row>
    <row r="13" spans="1:9" x14ac:dyDescent="0.25">
      <c r="A13" s="13" t="str">
        <f>IF(A12&lt;D3,8,"")</f>
        <v/>
      </c>
      <c r="B13" s="15"/>
      <c r="C13" s="17"/>
      <c r="D13" s="19"/>
      <c r="E13" s="14"/>
      <c r="F13" s="19"/>
      <c r="G13" s="17"/>
      <c r="H13" s="19"/>
      <c r="I13" s="114"/>
    </row>
    <row r="14" spans="1:9" x14ac:dyDescent="0.25">
      <c r="A14" s="13" t="str">
        <f>IF(A13&lt;D3,9,"")</f>
        <v/>
      </c>
      <c r="B14" s="15"/>
      <c r="C14" s="18"/>
      <c r="D14" s="19"/>
      <c r="E14" s="14"/>
      <c r="F14" s="19"/>
      <c r="G14" s="17"/>
      <c r="H14" s="19"/>
      <c r="I14" s="114"/>
    </row>
    <row r="15" spans="1:9" x14ac:dyDescent="0.25">
      <c r="A15" s="13" t="str">
        <f>IF(A14&lt;D3,10,"")</f>
        <v/>
      </c>
      <c r="B15" s="15"/>
      <c r="C15" s="18"/>
      <c r="D15" s="19"/>
      <c r="E15" s="14"/>
      <c r="F15" s="19"/>
      <c r="G15" s="17"/>
      <c r="H15" s="19"/>
      <c r="I15" s="114"/>
    </row>
    <row r="16" spans="1:9" x14ac:dyDescent="0.25">
      <c r="A16" s="13" t="str">
        <f>IF(A15&lt;D3,11,"")</f>
        <v/>
      </c>
      <c r="B16" s="15"/>
      <c r="C16" s="18"/>
      <c r="D16" s="19"/>
      <c r="E16" s="14"/>
      <c r="F16" s="19"/>
      <c r="G16" s="17"/>
      <c r="H16" s="19"/>
      <c r="I16" s="114"/>
    </row>
    <row r="17" spans="1:9" x14ac:dyDescent="0.25">
      <c r="A17" s="13" t="str">
        <f>IF(A16&lt;D3,12,"")</f>
        <v/>
      </c>
      <c r="B17" s="15"/>
      <c r="C17" s="18"/>
      <c r="D17" s="19"/>
      <c r="E17" s="14"/>
      <c r="F17" s="19"/>
      <c r="G17" s="17"/>
      <c r="H17" s="19"/>
      <c r="I17" s="114"/>
    </row>
    <row r="18" spans="1:9" x14ac:dyDescent="0.25">
      <c r="A18" s="13" t="str">
        <f>IF(A17&lt;D3,13,"")</f>
        <v/>
      </c>
      <c r="B18" s="15"/>
      <c r="C18" s="18"/>
      <c r="D18" s="19"/>
      <c r="E18" s="14"/>
      <c r="F18" s="19"/>
      <c r="G18" s="17"/>
      <c r="H18" s="19"/>
      <c r="I18" s="114"/>
    </row>
    <row r="19" spans="1:9" x14ac:dyDescent="0.25">
      <c r="A19" s="13" t="str">
        <f>IF(A18&lt;D3,14,"")</f>
        <v/>
      </c>
      <c r="B19" s="15"/>
      <c r="C19" s="18"/>
      <c r="D19" s="19"/>
      <c r="E19" s="14"/>
      <c r="F19" s="19"/>
      <c r="G19" s="17"/>
      <c r="H19" s="19"/>
      <c r="I19" s="114"/>
    </row>
    <row r="20" spans="1:9" x14ac:dyDescent="0.25">
      <c r="A20" s="13" t="str">
        <f>IF(A19&lt;D3,15,"")</f>
        <v/>
      </c>
      <c r="B20" s="15"/>
      <c r="C20" s="18"/>
      <c r="D20" s="19"/>
      <c r="E20" s="14"/>
      <c r="F20" s="19"/>
      <c r="G20" s="17"/>
      <c r="H20" s="19"/>
      <c r="I20" s="114"/>
    </row>
    <row r="21" spans="1:9" x14ac:dyDescent="0.25">
      <c r="A21" s="13" t="str">
        <f>IF(A20&lt;D3,16,"")</f>
        <v/>
      </c>
      <c r="B21" s="15"/>
      <c r="C21" s="18"/>
      <c r="D21" s="19"/>
      <c r="E21" s="14"/>
      <c r="F21" s="19"/>
      <c r="G21" s="17"/>
      <c r="H21" s="19"/>
      <c r="I21" s="114"/>
    </row>
    <row r="22" spans="1:9" x14ac:dyDescent="0.25">
      <c r="A22" s="13" t="str">
        <f>IF(A21&lt;D3,17,"")</f>
        <v/>
      </c>
      <c r="B22" s="15"/>
      <c r="C22" s="18"/>
      <c r="D22" s="19"/>
      <c r="E22" s="14"/>
      <c r="F22" s="19"/>
      <c r="G22" s="17"/>
      <c r="H22" s="19"/>
      <c r="I22" s="114"/>
    </row>
    <row r="23" spans="1:9" x14ac:dyDescent="0.25">
      <c r="A23" s="13" t="str">
        <f>IF(A22&lt;D3,18,"")</f>
        <v/>
      </c>
      <c r="B23" s="15"/>
      <c r="C23" s="18"/>
      <c r="D23" s="19"/>
      <c r="E23" s="14"/>
      <c r="F23" s="19"/>
      <c r="G23" s="17"/>
      <c r="H23" s="19"/>
      <c r="I23" s="114"/>
    </row>
    <row r="24" spans="1:9" x14ac:dyDescent="0.25">
      <c r="A24" s="13" t="str">
        <f>IF(A23&lt;D3,19,"")</f>
        <v/>
      </c>
      <c r="B24" s="15"/>
      <c r="C24" s="18"/>
      <c r="D24" s="19"/>
      <c r="E24" s="14"/>
      <c r="F24" s="19"/>
      <c r="G24" s="17"/>
      <c r="H24" s="19"/>
      <c r="I24" s="114"/>
    </row>
    <row r="25" spans="1:9" x14ac:dyDescent="0.25">
      <c r="A25" s="13" t="str">
        <f>IF(A24&lt;D3,20,"")</f>
        <v/>
      </c>
      <c r="B25" s="15"/>
      <c r="C25" s="18"/>
      <c r="D25" s="19"/>
      <c r="E25" s="14"/>
      <c r="F25" s="19"/>
      <c r="G25" s="17"/>
      <c r="H25" s="19"/>
      <c r="I25" s="114"/>
    </row>
  </sheetData>
  <sheetProtection formatCells="0" selectLockedCells="1"/>
  <mergeCells count="2">
    <mergeCell ref="A1:I1"/>
    <mergeCell ref="A3:C3"/>
  </mergeCells>
  <conditionalFormatting sqref="B6:I25">
    <cfRule type="cellIs" dxfId="34" priority="6" operator="greaterThan">
      <formula>0</formula>
    </cfRule>
  </conditionalFormatting>
  <conditionalFormatting sqref="A6:A25">
    <cfRule type="cellIs" dxfId="33" priority="2" operator="between">
      <formula>0</formula>
      <formula>$D$3</formula>
    </cfRule>
  </conditionalFormatting>
  <conditionalFormatting sqref="E11">
    <cfRule type="cellIs" dxfId="32" priority="1" operator="greaterThan">
      <formula>0</formula>
    </cfRule>
  </conditionalFormatting>
  <dataValidations count="4">
    <dataValidation type="whole" allowBlank="1" showErrorMessage="1" error="Введите либо 0, либо целое положительное число." sqref="D3">
      <formula1>0</formula1>
      <formula2>20</formula2>
    </dataValidation>
    <dataValidation type="date" allowBlank="1" showErrorMessage="1" error="Введите дату рождения в формате &quot;день.месяц.год&quot;." sqref="C6:C25">
      <formula1>1</formula1>
      <formula2>37621</formula2>
    </dataValidation>
    <dataValidation type="decimal" allowBlank="1" showErrorMessage="1" error="Введите стаж педагогической работы преподавателя в формате &quot;Кол-во лет&quot;." sqref="F6:F25">
      <formula1>0</formula1>
      <formula2>80</formula2>
    </dataValidation>
    <dataValidation type="list" allowBlank="1" showInputMessage="1" showErrorMessage="1" sqref="H6:H25">
      <formula1>"Высшая, Первая, Без категории"</formula1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showWhiteSpace="0" view="pageLayout" workbookViewId="0">
      <selection activeCell="A3" sqref="A3:C3"/>
    </sheetView>
  </sheetViews>
  <sheetFormatPr defaultRowHeight="15" x14ac:dyDescent="0.25"/>
  <cols>
    <col min="1" max="1" width="3.28515625" customWidth="1"/>
    <col min="2" max="2" width="26.7109375" customWidth="1"/>
    <col min="3" max="3" width="10" customWidth="1"/>
    <col min="4" max="4" width="37.28515625" customWidth="1"/>
    <col min="5" max="5" width="8" customWidth="1"/>
    <col min="6" max="6" width="10.7109375" customWidth="1"/>
    <col min="7" max="7" width="35" customWidth="1"/>
  </cols>
  <sheetData>
    <row r="1" spans="1:7" ht="15.75" x14ac:dyDescent="0.25">
      <c r="A1" s="179" t="s">
        <v>341</v>
      </c>
      <c r="B1" s="179"/>
      <c r="C1" s="179"/>
      <c r="D1" s="179"/>
      <c r="E1" s="179"/>
      <c r="F1" s="179"/>
      <c r="G1" s="179"/>
    </row>
    <row r="2" spans="1:7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238" t="s">
        <v>337</v>
      </c>
      <c r="B3" s="238"/>
      <c r="C3" s="238"/>
      <c r="D3" s="129">
        <v>0</v>
      </c>
      <c r="E3" s="11"/>
      <c r="F3" s="11"/>
      <c r="G3" s="11"/>
    </row>
    <row r="4" spans="1:7" x14ac:dyDescent="0.25">
      <c r="A4" s="10"/>
      <c r="B4" s="10"/>
      <c r="C4" s="10"/>
      <c r="D4" s="10"/>
      <c r="E4" s="10"/>
      <c r="F4" s="10"/>
      <c r="G4" s="10"/>
    </row>
    <row r="5" spans="1:7" ht="51" customHeight="1" x14ac:dyDescent="0.25">
      <c r="A5" s="109" t="s">
        <v>147</v>
      </c>
      <c r="B5" s="109" t="s">
        <v>148</v>
      </c>
      <c r="C5" s="109" t="s">
        <v>149</v>
      </c>
      <c r="D5" s="109" t="s">
        <v>261</v>
      </c>
      <c r="E5" s="109" t="s">
        <v>336</v>
      </c>
      <c r="F5" s="109" t="s">
        <v>150</v>
      </c>
      <c r="G5" s="109" t="s">
        <v>152</v>
      </c>
    </row>
    <row r="6" spans="1:7" x14ac:dyDescent="0.25">
      <c r="A6" s="12" t="str">
        <f>IF(1&lt;=D3,1,"")</f>
        <v/>
      </c>
      <c r="B6" s="91"/>
      <c r="C6" s="17"/>
      <c r="D6" s="91"/>
      <c r="E6" s="19"/>
      <c r="F6" s="17"/>
      <c r="G6" s="114"/>
    </row>
    <row r="7" spans="1:7" x14ac:dyDescent="0.25">
      <c r="A7" s="12" t="str">
        <f>IF(A6&lt;D3,2,"")</f>
        <v/>
      </c>
      <c r="B7" s="91"/>
      <c r="C7" s="17"/>
      <c r="D7" s="91"/>
      <c r="E7" s="19"/>
      <c r="F7" s="17"/>
      <c r="G7" s="114"/>
    </row>
    <row r="8" spans="1:7" x14ac:dyDescent="0.25">
      <c r="A8" s="12" t="str">
        <f>IF(A7&lt;D3,3,"")</f>
        <v/>
      </c>
      <c r="B8" s="91"/>
      <c r="C8" s="17"/>
      <c r="D8" s="91"/>
      <c r="E8" s="19"/>
      <c r="F8" s="17"/>
      <c r="G8" s="114"/>
    </row>
    <row r="9" spans="1:7" x14ac:dyDescent="0.25">
      <c r="A9" s="13" t="str">
        <f>IF(A8&lt;D3,4,"")</f>
        <v/>
      </c>
      <c r="B9" s="93"/>
      <c r="C9" s="17"/>
      <c r="D9" s="91"/>
      <c r="E9" s="19"/>
      <c r="F9" s="17"/>
      <c r="G9" s="114"/>
    </row>
    <row r="10" spans="1:7" x14ac:dyDescent="0.25">
      <c r="A10" s="13" t="str">
        <f>IF(A9&lt;D3,5,"")</f>
        <v/>
      </c>
      <c r="B10" s="93"/>
      <c r="C10" s="17"/>
      <c r="D10" s="91"/>
      <c r="E10" s="19"/>
      <c r="F10" s="17"/>
      <c r="G10" s="114"/>
    </row>
  </sheetData>
  <sheetProtection password="CC43" sheet="1" objects="1" scenarios="1" formatCells="0" selectLockedCells="1"/>
  <mergeCells count="2">
    <mergeCell ref="A3:C3"/>
    <mergeCell ref="A1:G1"/>
  </mergeCells>
  <conditionalFormatting sqref="B6:G10">
    <cfRule type="cellIs" dxfId="31" priority="7" operator="greaterThan">
      <formula>0</formula>
    </cfRule>
  </conditionalFormatting>
  <conditionalFormatting sqref="A6:A10">
    <cfRule type="cellIs" dxfId="30" priority="1" operator="between">
      <formula>1</formula>
      <formula>5</formula>
    </cfRule>
  </conditionalFormatting>
  <dataValidations count="4">
    <dataValidation type="date" allowBlank="1" showErrorMessage="1" error="Введите дату рождения в формате &quot;день.месяц.год&quot;." sqref="C6:C10">
      <formula1>1</formula1>
      <formula2>37621</formula2>
    </dataValidation>
    <dataValidation type="decimal" allowBlank="1" showErrorMessage="1" error="Введите стаж педагогической работы преподавателя в формате &quot;Кол-во лет&quot;." sqref="E6:E10">
      <formula1>0</formula1>
      <formula2>80</formula2>
    </dataValidation>
    <dataValidation type="date" allowBlank="1" showErrorMessage="1" error="Введите дату начала работы в данном учреждении в формате &quot;день.месяц.год&quot;." sqref="F6:F10">
      <formula1>1</formula1>
      <formula2>43616</formula2>
    </dataValidation>
    <dataValidation type="whole" allowBlank="1" showErrorMessage="1" error="Введите либо 0, либо целое положительное число." sqref="D3">
      <formula1>0</formula1>
      <formula2>20</formula2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showWhiteSpace="0" view="pageLayout" workbookViewId="0">
      <selection activeCell="E18" sqref="E18"/>
    </sheetView>
  </sheetViews>
  <sheetFormatPr defaultRowHeight="15" x14ac:dyDescent="0.25"/>
  <cols>
    <col min="1" max="1" width="4" customWidth="1"/>
    <col min="2" max="2" width="22.85546875" customWidth="1"/>
    <col min="3" max="3" width="9.42578125" customWidth="1"/>
    <col min="4" max="4" width="7.42578125" customWidth="1"/>
    <col min="5" max="5" width="14.5703125" customWidth="1"/>
    <col min="6" max="6" width="14.28515625" customWidth="1"/>
    <col min="7" max="7" width="11.42578125" customWidth="1"/>
    <col min="8" max="8" width="36" customWidth="1"/>
    <col min="9" max="9" width="11" customWidth="1"/>
  </cols>
  <sheetData>
    <row r="1" spans="1:9" ht="15.75" x14ac:dyDescent="0.25">
      <c r="A1" s="179" t="s">
        <v>268</v>
      </c>
      <c r="B1" s="179"/>
      <c r="C1" s="179"/>
      <c r="D1" s="179"/>
      <c r="E1" s="179"/>
      <c r="F1" s="179"/>
      <c r="G1" s="179"/>
      <c r="H1" s="179"/>
      <c r="I1" s="179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238" t="s">
        <v>338</v>
      </c>
      <c r="B3" s="238"/>
      <c r="C3" s="238"/>
      <c r="D3" s="238"/>
      <c r="E3" s="238"/>
      <c r="F3" s="238"/>
      <c r="G3" s="112">
        <v>3</v>
      </c>
      <c r="H3" s="32"/>
      <c r="I3" s="11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ht="55.5" customHeight="1" x14ac:dyDescent="0.25">
      <c r="A5" s="68" t="s">
        <v>147</v>
      </c>
      <c r="B5" s="68" t="s">
        <v>148</v>
      </c>
      <c r="C5" s="68" t="s">
        <v>149</v>
      </c>
      <c r="D5" s="68" t="s">
        <v>153</v>
      </c>
      <c r="E5" s="68" t="s">
        <v>158</v>
      </c>
      <c r="F5" s="68" t="s">
        <v>155</v>
      </c>
      <c r="G5" s="68" t="s">
        <v>159</v>
      </c>
      <c r="H5" s="68" t="s">
        <v>154</v>
      </c>
      <c r="I5" s="68" t="s">
        <v>150</v>
      </c>
    </row>
    <row r="6" spans="1:9" ht="51" x14ac:dyDescent="0.25">
      <c r="A6" s="12">
        <f>IF(1&lt;=G3,1,"")</f>
        <v>1</v>
      </c>
      <c r="B6" s="91" t="s">
        <v>496</v>
      </c>
      <c r="C6" s="17">
        <v>36927</v>
      </c>
      <c r="D6" s="16">
        <f ca="1">IF(C6&gt;0,DATEDIF(C6,TODAY(),"y"),"")</f>
        <v>19</v>
      </c>
      <c r="E6" s="31" t="s">
        <v>209</v>
      </c>
      <c r="F6" s="19" t="s">
        <v>516</v>
      </c>
      <c r="G6" s="168" t="s">
        <v>519</v>
      </c>
      <c r="H6" s="91" t="s">
        <v>497</v>
      </c>
      <c r="I6" s="17">
        <v>43709</v>
      </c>
    </row>
    <row r="7" spans="1:9" ht="51" x14ac:dyDescent="0.25">
      <c r="A7" s="12">
        <f>IF(A6&lt;G3,2,"")</f>
        <v>2</v>
      </c>
      <c r="B7" s="91" t="s">
        <v>514</v>
      </c>
      <c r="C7" s="17">
        <v>36230</v>
      </c>
      <c r="D7" s="16">
        <f t="shared" ref="D7:D15" ca="1" si="0">IF(C7&gt;0,DATEDIF(C7,TODAY(),"y"),"")</f>
        <v>21</v>
      </c>
      <c r="E7" s="31" t="s">
        <v>209</v>
      </c>
      <c r="F7" s="19" t="s">
        <v>517</v>
      </c>
      <c r="G7" s="19" t="s">
        <v>519</v>
      </c>
      <c r="H7" s="91" t="s">
        <v>520</v>
      </c>
      <c r="I7" s="17">
        <v>43741</v>
      </c>
    </row>
    <row r="8" spans="1:9" ht="51" x14ac:dyDescent="0.25">
      <c r="A8" s="12">
        <f>IF(A7&lt;G3,3,"")</f>
        <v>3</v>
      </c>
      <c r="B8" s="91" t="s">
        <v>512</v>
      </c>
      <c r="C8" s="17">
        <v>36978</v>
      </c>
      <c r="D8" s="16">
        <f t="shared" ca="1" si="0"/>
        <v>19</v>
      </c>
      <c r="E8" s="31" t="s">
        <v>515</v>
      </c>
      <c r="F8" s="19" t="s">
        <v>518</v>
      </c>
      <c r="G8" s="168" t="s">
        <v>519</v>
      </c>
      <c r="H8" s="91" t="s">
        <v>508</v>
      </c>
      <c r="I8" s="17">
        <v>43770</v>
      </c>
    </row>
    <row r="9" spans="1:9" x14ac:dyDescent="0.25">
      <c r="A9" s="13" t="str">
        <f>IF(A8&lt;G3,4,"")</f>
        <v/>
      </c>
      <c r="B9" s="21"/>
      <c r="C9" s="17"/>
      <c r="D9" s="16" t="str">
        <f t="shared" ca="1" si="0"/>
        <v/>
      </c>
      <c r="E9" s="31"/>
      <c r="F9" s="19"/>
      <c r="G9" s="19"/>
      <c r="H9" s="20"/>
      <c r="I9" s="17"/>
    </row>
    <row r="10" spans="1:9" x14ac:dyDescent="0.25">
      <c r="A10" s="13" t="str">
        <f>IF(A9&lt;G3,5,"")</f>
        <v/>
      </c>
      <c r="B10" s="21"/>
      <c r="C10" s="17"/>
      <c r="D10" s="16" t="str">
        <f t="shared" ca="1" si="0"/>
        <v/>
      </c>
      <c r="E10" s="31"/>
      <c r="F10" s="19"/>
      <c r="G10" s="19"/>
      <c r="H10" s="20"/>
      <c r="I10" s="17"/>
    </row>
    <row r="11" spans="1:9" x14ac:dyDescent="0.25">
      <c r="A11" s="13" t="str">
        <f>IF(A10&lt;G3,6,"")</f>
        <v/>
      </c>
      <c r="B11" s="21"/>
      <c r="C11" s="17"/>
      <c r="D11" s="16" t="str">
        <f t="shared" ca="1" si="0"/>
        <v/>
      </c>
      <c r="E11" s="31"/>
      <c r="F11" s="19"/>
      <c r="G11" s="19"/>
      <c r="H11" s="20"/>
      <c r="I11" s="17"/>
    </row>
    <row r="12" spans="1:9" x14ac:dyDescent="0.25">
      <c r="A12" s="13" t="str">
        <f>IF(A11&lt;G3,7,"")</f>
        <v/>
      </c>
      <c r="B12" s="21"/>
      <c r="C12" s="17"/>
      <c r="D12" s="16" t="str">
        <f t="shared" ca="1" si="0"/>
        <v/>
      </c>
      <c r="E12" s="31"/>
      <c r="F12" s="19"/>
      <c r="G12" s="19"/>
      <c r="H12" s="20"/>
      <c r="I12" s="17"/>
    </row>
    <row r="13" spans="1:9" x14ac:dyDescent="0.25">
      <c r="A13" s="13" t="str">
        <f>IF(A12&lt;G3,8,"")</f>
        <v/>
      </c>
      <c r="B13" s="21"/>
      <c r="C13" s="17"/>
      <c r="D13" s="16" t="str">
        <f t="shared" ca="1" si="0"/>
        <v/>
      </c>
      <c r="E13" s="31"/>
      <c r="F13" s="19"/>
      <c r="G13" s="19"/>
      <c r="H13" s="20"/>
      <c r="I13" s="17"/>
    </row>
    <row r="14" spans="1:9" x14ac:dyDescent="0.25">
      <c r="A14" s="13" t="str">
        <f>IF(A13&lt;G3,9,"")</f>
        <v/>
      </c>
      <c r="B14" s="21"/>
      <c r="C14" s="18"/>
      <c r="D14" s="16" t="str">
        <f t="shared" ca="1" si="0"/>
        <v/>
      </c>
      <c r="E14" s="31"/>
      <c r="F14" s="19"/>
      <c r="G14" s="19"/>
      <c r="H14" s="20"/>
      <c r="I14" s="17"/>
    </row>
    <row r="15" spans="1:9" x14ac:dyDescent="0.25">
      <c r="A15" s="13" t="str">
        <f>IF(A14&lt;G3,10,"")</f>
        <v/>
      </c>
      <c r="B15" s="21"/>
      <c r="C15" s="18"/>
      <c r="D15" s="16" t="str">
        <f t="shared" ca="1" si="0"/>
        <v/>
      </c>
      <c r="E15" s="31"/>
      <c r="F15" s="19"/>
      <c r="G15" s="19"/>
      <c r="H15" s="20"/>
      <c r="I15" s="17"/>
    </row>
    <row r="16" spans="1:9" x14ac:dyDescent="0.25">
      <c r="A16" s="22"/>
      <c r="B16" s="30"/>
      <c r="C16" s="30"/>
      <c r="D16" s="30"/>
      <c r="E16" s="30"/>
      <c r="F16" s="30"/>
      <c r="G16" s="30"/>
      <c r="H16" s="30"/>
      <c r="I16" s="30"/>
    </row>
    <row r="17" spans="1:9" x14ac:dyDescent="0.25">
      <c r="A17" s="22"/>
      <c r="B17" s="30"/>
      <c r="C17" s="30"/>
      <c r="D17" s="30"/>
      <c r="E17" s="30"/>
      <c r="F17" s="30"/>
      <c r="G17" s="30"/>
      <c r="H17" s="30"/>
      <c r="I17" s="30"/>
    </row>
    <row r="18" spans="1:9" x14ac:dyDescent="0.25">
      <c r="A18" s="22"/>
      <c r="B18" s="30"/>
      <c r="C18" s="30"/>
      <c r="D18" s="30"/>
      <c r="E18" s="30"/>
      <c r="F18" s="30"/>
      <c r="G18" s="30"/>
      <c r="H18" s="30"/>
      <c r="I18" s="30"/>
    </row>
    <row r="19" spans="1:9" x14ac:dyDescent="0.25">
      <c r="A19" s="22"/>
      <c r="B19" s="30"/>
      <c r="C19" s="30"/>
      <c r="D19" s="30"/>
      <c r="E19" s="30"/>
      <c r="F19" s="30"/>
      <c r="G19" s="30"/>
      <c r="H19" s="30"/>
      <c r="I19" s="30"/>
    </row>
    <row r="20" spans="1:9" x14ac:dyDescent="0.25">
      <c r="A20" s="22"/>
      <c r="B20" s="30"/>
      <c r="C20" s="30"/>
      <c r="D20" s="30"/>
      <c r="E20" s="30"/>
      <c r="F20" s="30"/>
      <c r="G20" s="30"/>
      <c r="H20" s="30"/>
      <c r="I20" s="30"/>
    </row>
    <row r="21" spans="1:9" x14ac:dyDescent="0.25">
      <c r="A21" s="22"/>
      <c r="B21" s="30"/>
      <c r="C21" s="30"/>
      <c r="D21" s="30"/>
      <c r="E21" s="30"/>
      <c r="F21" s="30"/>
      <c r="G21" s="30"/>
      <c r="H21" s="30"/>
      <c r="I21" s="30"/>
    </row>
    <row r="22" spans="1:9" x14ac:dyDescent="0.25">
      <c r="A22" s="22"/>
      <c r="B22" s="30"/>
      <c r="C22" s="30"/>
      <c r="D22" s="30"/>
      <c r="E22" s="30"/>
      <c r="F22" s="30"/>
      <c r="G22" s="30"/>
      <c r="H22" s="30"/>
      <c r="I22" s="30"/>
    </row>
    <row r="23" spans="1:9" x14ac:dyDescent="0.25">
      <c r="A23" s="22"/>
      <c r="B23" s="30"/>
      <c r="C23" s="30"/>
      <c r="D23" s="30"/>
      <c r="E23" s="30"/>
      <c r="F23" s="30"/>
      <c r="G23" s="30"/>
      <c r="H23" s="30"/>
      <c r="I23" s="30"/>
    </row>
    <row r="24" spans="1:9" x14ac:dyDescent="0.25">
      <c r="A24" s="22"/>
      <c r="B24" s="30"/>
      <c r="C24" s="30"/>
      <c r="D24" s="30"/>
      <c r="E24" s="30"/>
      <c r="F24" s="30"/>
      <c r="G24" s="30"/>
      <c r="H24" s="30"/>
      <c r="I24" s="30"/>
    </row>
    <row r="25" spans="1:9" x14ac:dyDescent="0.25">
      <c r="A25" s="22"/>
      <c r="B25" s="30"/>
      <c r="C25" s="30"/>
      <c r="D25" s="30"/>
      <c r="E25" s="30"/>
      <c r="F25" s="30"/>
      <c r="G25" s="30"/>
      <c r="H25" s="30"/>
      <c r="I25" s="30"/>
    </row>
    <row r="26" spans="1:9" x14ac:dyDescent="0.25">
      <c r="A26" s="29"/>
      <c r="B26" s="33"/>
      <c r="C26" s="33"/>
      <c r="D26" s="33"/>
      <c r="E26" s="33"/>
      <c r="F26" s="33"/>
      <c r="G26" s="33"/>
      <c r="H26" s="33"/>
      <c r="I26" s="33"/>
    </row>
  </sheetData>
  <sheetProtection selectLockedCells="1"/>
  <mergeCells count="2">
    <mergeCell ref="A1:I1"/>
    <mergeCell ref="A3:F3"/>
  </mergeCells>
  <conditionalFormatting sqref="B6:C15 F6:I15">
    <cfRule type="cellIs" dxfId="29" priority="8" operator="greaterThan">
      <formula>0</formula>
    </cfRule>
  </conditionalFormatting>
  <conditionalFormatting sqref="D6:E15">
    <cfRule type="cellIs" dxfId="28" priority="6" operator="between">
      <formula>1</formula>
      <formula>99</formula>
    </cfRule>
  </conditionalFormatting>
  <conditionalFormatting sqref="E6:E15">
    <cfRule type="cellIs" dxfId="27" priority="2" operator="greaterThan">
      <formula>0</formula>
    </cfRule>
  </conditionalFormatting>
  <conditionalFormatting sqref="A6:A15">
    <cfRule type="cellIs" dxfId="26" priority="1" operator="between">
      <formula>1</formula>
      <formula>10</formula>
    </cfRule>
  </conditionalFormatting>
  <dataValidations count="5">
    <dataValidation type="date" allowBlank="1" showErrorMessage="1" error="Введите дату рождения в формате &quot;день.месяц.год&quot;." sqref="C6:C15">
      <formula1>1</formula1>
      <formula2>37621</formula2>
    </dataValidation>
    <dataValidation type="whole" allowBlank="1" showErrorMessage="1" error="Введите либо 0, либо целое положительное число." sqref="H3">
      <formula1>0</formula1>
      <formula2>20</formula2>
    </dataValidation>
    <dataValidation type="list" allowBlank="1" showInputMessage="1" showErrorMessage="1" sqref="E6:E25">
      <formula1>"Преподаватель, Концермейстер"</formula1>
    </dataValidation>
    <dataValidation type="list" allowBlank="1" showInputMessage="1" showErrorMessage="1" sqref="G6:G25">
      <formula1>"Высшее, Среднее специальное"</formula1>
    </dataValidation>
    <dataValidation type="whole" allowBlank="1" showErrorMessage="1" error="Введите либо 0, либо целое положительное число." sqref="G3">
      <formula1>0</formula1>
      <formula2>10</formula2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"/>
  <sheetViews>
    <sheetView showWhiteSpace="0" view="pageLayout" workbookViewId="0">
      <selection activeCell="B4" sqref="B4"/>
    </sheetView>
  </sheetViews>
  <sheetFormatPr defaultRowHeight="15" x14ac:dyDescent="0.25"/>
  <cols>
    <col min="1" max="1" width="4" style="1" customWidth="1"/>
    <col min="2" max="2" width="43.42578125" style="1" customWidth="1"/>
    <col min="3" max="3" width="17.28515625" style="1" customWidth="1"/>
    <col min="4" max="4" width="20.28515625" style="1" customWidth="1"/>
    <col min="5" max="5" width="46.140625" style="1" customWidth="1"/>
    <col min="6" max="16384" width="9.140625" style="1"/>
  </cols>
  <sheetData>
    <row r="1" spans="1:5" ht="15" customHeight="1" x14ac:dyDescent="0.25">
      <c r="A1" s="179" t="s">
        <v>344</v>
      </c>
      <c r="B1" s="179"/>
      <c r="C1" s="179"/>
      <c r="D1" s="179"/>
      <c r="E1" s="179"/>
    </row>
    <row r="3" spans="1:5" ht="45" customHeight="1" x14ac:dyDescent="0.25">
      <c r="A3" s="115" t="s">
        <v>147</v>
      </c>
      <c r="B3" s="115" t="s">
        <v>346</v>
      </c>
      <c r="C3" s="115" t="s">
        <v>343</v>
      </c>
      <c r="D3" s="115" t="s">
        <v>342</v>
      </c>
      <c r="E3" s="115" t="s">
        <v>345</v>
      </c>
    </row>
    <row r="4" spans="1:5" x14ac:dyDescent="0.25">
      <c r="A4" s="71" t="str">
        <f>IF( OR(B4&lt;&gt;0,C4&lt;&gt; 0,D4&lt;&gt;0,E4&lt;&gt;0), 1, "")</f>
        <v/>
      </c>
      <c r="B4" s="35"/>
      <c r="C4" s="34"/>
      <c r="D4" s="34"/>
      <c r="E4" s="35"/>
    </row>
    <row r="5" spans="1:5" x14ac:dyDescent="0.25">
      <c r="A5" s="71" t="str">
        <f>IF( OR(B5&lt;&gt;0,C5&lt;&gt; 0,D5&lt;&gt;0,E5&lt;&gt;0), 2, "")</f>
        <v/>
      </c>
      <c r="B5" s="35"/>
      <c r="C5" s="34"/>
      <c r="D5" s="34"/>
      <c r="E5" s="35"/>
    </row>
    <row r="6" spans="1:5" x14ac:dyDescent="0.25">
      <c r="A6" s="71" t="str">
        <f>IF( OR(B6&lt;&gt;0,C6&lt;&gt; 0,D6&lt;&gt;0,E6&lt;&gt;0), 3, "")</f>
        <v/>
      </c>
      <c r="B6" s="35"/>
      <c r="C6" s="34"/>
      <c r="D6" s="34"/>
      <c r="E6" s="35"/>
    </row>
    <row r="7" spans="1:5" x14ac:dyDescent="0.25">
      <c r="A7" s="71" t="str">
        <f>IF( OR(B7&lt;&gt;0,C7&lt;&gt; 0,D7&lt;&gt;0,E7&lt;&gt;0), 4, "")</f>
        <v/>
      </c>
      <c r="B7" s="35"/>
      <c r="C7" s="34"/>
      <c r="D7" s="34"/>
      <c r="E7" s="35"/>
    </row>
    <row r="8" spans="1:5" x14ac:dyDescent="0.25">
      <c r="A8" s="71" t="str">
        <f>IF( OR(B8&lt;&gt;0,C8&lt;&gt; 0,D8&lt;&gt;0,E8&lt;&gt;0), 5, "")</f>
        <v/>
      </c>
      <c r="B8" s="35"/>
      <c r="C8" s="34"/>
      <c r="D8" s="34"/>
      <c r="E8" s="35"/>
    </row>
    <row r="9" spans="1:5" x14ac:dyDescent="0.25">
      <c r="A9" s="71" t="str">
        <f>IF( OR(B9&lt;&gt;0,C9&lt;&gt; 0,D9&lt;&gt;0,E9&lt;&gt;0), 6, "")</f>
        <v/>
      </c>
      <c r="B9" s="35"/>
      <c r="C9" s="34"/>
      <c r="D9" s="34"/>
      <c r="E9" s="35"/>
    </row>
    <row r="10" spans="1:5" x14ac:dyDescent="0.25">
      <c r="A10" s="71" t="str">
        <f>IF( OR(B10&lt;&gt;0,C10&lt;&gt; 0,D10&lt;&gt;0,E10&lt;&gt;0), 7, "")</f>
        <v/>
      </c>
      <c r="B10" s="35"/>
      <c r="C10" s="34"/>
      <c r="D10" s="34"/>
      <c r="E10" s="35"/>
    </row>
    <row r="11" spans="1:5" x14ac:dyDescent="0.25">
      <c r="A11" s="71" t="str">
        <f>IF( OR(B11&lt;&gt;0,C11&lt;&gt; 0,D11&lt;&gt;0,E11&lt;&gt;0), 8, "")</f>
        <v/>
      </c>
      <c r="B11" s="35"/>
      <c r="C11" s="34"/>
      <c r="D11" s="34"/>
      <c r="E11" s="35"/>
    </row>
    <row r="12" spans="1:5" x14ac:dyDescent="0.25">
      <c r="A12" s="71" t="str">
        <f>IF( OR(B12&lt;&gt;0,C12&lt;&gt; 0,D12&lt;&gt;0,E12&lt;&gt;0), 9, "")</f>
        <v/>
      </c>
      <c r="B12" s="35"/>
      <c r="C12" s="34"/>
      <c r="D12" s="34"/>
      <c r="E12" s="35"/>
    </row>
    <row r="13" spans="1:5" x14ac:dyDescent="0.25">
      <c r="A13" s="71" t="str">
        <f>IF( OR(B13&lt;&gt;0,C13&lt;&gt; 0,D13&lt;&gt;0,E13&lt;&gt;0), 10, "")</f>
        <v/>
      </c>
      <c r="B13" s="35"/>
      <c r="C13" s="34"/>
      <c r="D13" s="34"/>
      <c r="E13" s="35"/>
    </row>
    <row r="14" spans="1:5" x14ac:dyDescent="0.25">
      <c r="A14" s="71"/>
      <c r="B14" s="117"/>
      <c r="C14" s="79"/>
      <c r="D14" s="79"/>
      <c r="E14" s="79"/>
    </row>
    <row r="15" spans="1:5" x14ac:dyDescent="0.25">
      <c r="A15" s="79"/>
      <c r="B15" s="79"/>
      <c r="C15" s="79"/>
      <c r="D15" s="79"/>
      <c r="E15" s="79"/>
    </row>
    <row r="16" spans="1:5" x14ac:dyDescent="0.25">
      <c r="A16" s="79"/>
      <c r="B16" s="79"/>
      <c r="C16" s="79"/>
      <c r="D16" s="79"/>
      <c r="E16" s="79"/>
    </row>
    <row r="17" spans="1:5" x14ac:dyDescent="0.25">
      <c r="A17" s="79"/>
      <c r="B17" s="79"/>
      <c r="C17" s="79"/>
      <c r="D17" s="79"/>
      <c r="E17" s="79"/>
    </row>
    <row r="18" spans="1:5" x14ac:dyDescent="0.25">
      <c r="A18" s="79"/>
      <c r="B18" s="79"/>
      <c r="C18" s="79"/>
      <c r="D18" s="79"/>
      <c r="E18" s="79"/>
    </row>
    <row r="19" spans="1:5" x14ac:dyDescent="0.25">
      <c r="A19" s="79"/>
      <c r="B19" s="79"/>
      <c r="C19" s="79"/>
      <c r="D19" s="79"/>
      <c r="E19" s="79"/>
    </row>
    <row r="20" spans="1:5" x14ac:dyDescent="0.25">
      <c r="A20" s="79"/>
      <c r="B20" s="79"/>
      <c r="C20" s="79"/>
      <c r="D20" s="79"/>
      <c r="E20" s="79"/>
    </row>
    <row r="21" spans="1:5" x14ac:dyDescent="0.25">
      <c r="A21" s="79"/>
      <c r="B21" s="79"/>
      <c r="C21" s="79"/>
      <c r="D21" s="79"/>
      <c r="E21" s="79"/>
    </row>
    <row r="22" spans="1:5" x14ac:dyDescent="0.25">
      <c r="A22" s="79"/>
      <c r="B22" s="79"/>
      <c r="C22" s="79"/>
      <c r="D22" s="79"/>
      <c r="E22" s="79"/>
    </row>
    <row r="23" spans="1:5" x14ac:dyDescent="0.25">
      <c r="A23" s="79"/>
      <c r="B23" s="79"/>
      <c r="C23" s="79"/>
      <c r="D23" s="79"/>
      <c r="E23" s="79"/>
    </row>
    <row r="24" spans="1:5" x14ac:dyDescent="0.25">
      <c r="A24" s="79"/>
      <c r="B24" s="79"/>
      <c r="C24" s="79"/>
      <c r="D24" s="79"/>
      <c r="E24" s="79"/>
    </row>
    <row r="25" spans="1:5" x14ac:dyDescent="0.25">
      <c r="A25" s="79"/>
      <c r="B25" s="79"/>
      <c r="C25" s="79"/>
      <c r="D25" s="79"/>
      <c r="E25" s="79"/>
    </row>
    <row r="26" spans="1:5" x14ac:dyDescent="0.25">
      <c r="A26" s="79"/>
      <c r="B26" s="79"/>
      <c r="C26" s="79"/>
      <c r="D26" s="79"/>
      <c r="E26" s="79"/>
    </row>
    <row r="27" spans="1:5" x14ac:dyDescent="0.25">
      <c r="A27" s="79"/>
      <c r="B27" s="79"/>
      <c r="C27" s="79"/>
      <c r="D27" s="79"/>
      <c r="E27" s="79"/>
    </row>
    <row r="28" spans="1:5" x14ac:dyDescent="0.25">
      <c r="A28" s="79"/>
      <c r="B28" s="79"/>
      <c r="C28" s="79"/>
      <c r="D28" s="79"/>
      <c r="E28" s="79"/>
    </row>
    <row r="29" spans="1:5" x14ac:dyDescent="0.25">
      <c r="A29" s="79"/>
      <c r="B29" s="79"/>
      <c r="C29" s="79"/>
      <c r="D29" s="79"/>
      <c r="E29" s="79"/>
    </row>
    <row r="30" spans="1:5" x14ac:dyDescent="0.25">
      <c r="A30" s="79"/>
      <c r="B30" s="79"/>
      <c r="C30" s="79"/>
      <c r="D30" s="79"/>
      <c r="E30" s="79"/>
    </row>
    <row r="31" spans="1:5" x14ac:dyDescent="0.25">
      <c r="A31" s="79"/>
      <c r="B31" s="79"/>
      <c r="C31" s="79"/>
      <c r="D31" s="79"/>
      <c r="E31" s="79"/>
    </row>
  </sheetData>
  <sheetProtection password="CC43" sheet="1" objects="1" scenarios="1" selectLockedCells="1"/>
  <mergeCells count="1">
    <mergeCell ref="A1:E1"/>
  </mergeCells>
  <conditionalFormatting sqref="A4:A13">
    <cfRule type="cellIs" dxfId="25" priority="2" operator="between">
      <formula>0</formula>
      <formula>11</formula>
    </cfRule>
  </conditionalFormatting>
  <conditionalFormatting sqref="B4:E13">
    <cfRule type="cellIs" dxfId="24" priority="1" operator="greaterThan">
      <formula>0</formula>
    </cfRule>
  </conditionalFormatting>
  <dataValidations count="2">
    <dataValidation allowBlank="1" showErrorMessage="1" error="Введите либо 0, либо целое положительное число." sqref="A4:A14"/>
    <dataValidation type="whole" operator="lessThanOrEqual" allowBlank="1" showInputMessage="1" showErrorMessage="1" sqref="D4:D13">
      <formula1>50</formula1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showWhiteSpace="0" view="pageLayout" topLeftCell="A21" workbookViewId="0">
      <selection activeCell="B24" sqref="B24"/>
    </sheetView>
  </sheetViews>
  <sheetFormatPr defaultRowHeight="15" x14ac:dyDescent="0.25"/>
  <cols>
    <col min="1" max="1" width="4" style="1" customWidth="1"/>
    <col min="2" max="2" width="37.42578125" style="1" customWidth="1"/>
    <col min="3" max="3" width="14.7109375" style="1" customWidth="1"/>
    <col min="4" max="4" width="12.7109375" style="1" customWidth="1"/>
    <col min="5" max="5" width="26.7109375" style="1" customWidth="1"/>
    <col min="6" max="6" width="35.5703125" style="1" customWidth="1"/>
    <col min="7" max="16384" width="9.140625" style="1"/>
  </cols>
  <sheetData>
    <row r="1" spans="1:6" ht="15" customHeight="1" x14ac:dyDescent="0.25">
      <c r="A1" s="179" t="s">
        <v>347</v>
      </c>
      <c r="B1" s="179"/>
      <c r="C1" s="179"/>
      <c r="D1" s="179"/>
      <c r="E1" s="179"/>
      <c r="F1" s="179"/>
    </row>
    <row r="3" spans="1:6" ht="30" customHeight="1" x14ac:dyDescent="0.25">
      <c r="A3" s="223" t="s">
        <v>147</v>
      </c>
      <c r="B3" s="223" t="s">
        <v>348</v>
      </c>
      <c r="C3" s="223" t="s">
        <v>343</v>
      </c>
      <c r="D3" s="223" t="s">
        <v>352</v>
      </c>
      <c r="E3" s="239" t="s">
        <v>349</v>
      </c>
      <c r="F3" s="240"/>
    </row>
    <row r="4" spans="1:6" x14ac:dyDescent="0.25">
      <c r="A4" s="225"/>
      <c r="B4" s="225"/>
      <c r="C4" s="225"/>
      <c r="D4" s="225"/>
      <c r="E4" s="115" t="s">
        <v>351</v>
      </c>
      <c r="F4" s="115" t="s">
        <v>350</v>
      </c>
    </row>
    <row r="5" spans="1:6" ht="60" x14ac:dyDescent="0.25">
      <c r="A5" s="71">
        <f>IF( OR(B5&lt;&gt;0, C5&lt;&gt;0, D5&lt;&gt;0, E5&lt;&gt;0, F5&lt;&gt;0), 1, "")</f>
        <v>1</v>
      </c>
      <c r="B5" s="119" t="s">
        <v>475</v>
      </c>
      <c r="C5" s="151">
        <v>43775</v>
      </c>
      <c r="D5" s="118">
        <v>5</v>
      </c>
      <c r="E5" s="35">
        <v>1</v>
      </c>
      <c r="F5" s="150" t="s">
        <v>476</v>
      </c>
    </row>
    <row r="6" spans="1:6" ht="75" x14ac:dyDescent="0.25">
      <c r="A6" s="71">
        <f>IF( OR(B6&lt;&gt;0, C6&lt;&gt;0, D6&lt;&gt;0, E6&lt;&gt;0, F6&lt;&gt;0), 2, "")</f>
        <v>2</v>
      </c>
      <c r="B6" s="119" t="s">
        <v>477</v>
      </c>
      <c r="C6" s="151">
        <v>43775</v>
      </c>
      <c r="D6" s="118">
        <v>10</v>
      </c>
      <c r="E6" s="35">
        <v>1</v>
      </c>
      <c r="F6" s="150" t="s">
        <v>478</v>
      </c>
    </row>
    <row r="7" spans="1:6" ht="105" x14ac:dyDescent="0.25">
      <c r="A7" s="71">
        <f>IF( OR(B7&lt;&gt;0, C7&lt;&gt;0, D7&lt;&gt;0, E7&lt;&gt;0, F7&lt;&gt;0), 3, "")</f>
        <v>3</v>
      </c>
      <c r="B7" s="119" t="s">
        <v>479</v>
      </c>
      <c r="C7" s="151">
        <v>43747</v>
      </c>
      <c r="D7" s="118">
        <v>1</v>
      </c>
      <c r="E7" s="35">
        <v>0</v>
      </c>
      <c r="F7" s="35">
        <v>0</v>
      </c>
    </row>
    <row r="8" spans="1:6" ht="90" x14ac:dyDescent="0.25">
      <c r="A8" s="71">
        <f>IF( OR(B8&lt;&gt;0, C8&lt;&gt;0, D8&lt;&gt;0, E8&lt;&gt;0, F8&lt;&gt;0), 4, "")</f>
        <v>4</v>
      </c>
      <c r="B8" s="119" t="s">
        <v>480</v>
      </c>
      <c r="C8" s="151">
        <v>43761</v>
      </c>
      <c r="D8" s="118">
        <v>2</v>
      </c>
      <c r="E8" s="35">
        <v>0</v>
      </c>
      <c r="F8" s="35">
        <v>0</v>
      </c>
    </row>
    <row r="9" spans="1:6" ht="120" x14ac:dyDescent="0.25">
      <c r="A9" s="71">
        <f>IF( OR(B9&lt;&gt;0, C9&lt;&gt;0, D9&lt;&gt;0, E9&lt;&gt;0, F9&lt;&gt;0), 5, "")</f>
        <v>5</v>
      </c>
      <c r="B9" s="119" t="s">
        <v>481</v>
      </c>
      <c r="C9" s="151">
        <v>43750</v>
      </c>
      <c r="D9" s="118">
        <v>2</v>
      </c>
      <c r="E9" s="35">
        <v>2</v>
      </c>
      <c r="F9" s="150" t="s">
        <v>482</v>
      </c>
    </row>
    <row r="10" spans="1:6" ht="90" x14ac:dyDescent="0.25">
      <c r="A10" s="71">
        <f>IF( OR(B10&lt;&gt;0, C10&lt;&gt;0, D10&lt;&gt;0, E10&lt;&gt;0, F10&lt;&gt;0), 6, "")</f>
        <v>6</v>
      </c>
      <c r="B10" s="119" t="s">
        <v>483</v>
      </c>
      <c r="C10" s="151">
        <v>43770</v>
      </c>
      <c r="D10" s="118">
        <v>0</v>
      </c>
      <c r="E10" s="35">
        <v>2</v>
      </c>
      <c r="F10" s="150" t="s">
        <v>484</v>
      </c>
    </row>
    <row r="11" spans="1:6" ht="105" x14ac:dyDescent="0.25">
      <c r="A11" s="71">
        <f>IF( OR(B11&lt;&gt;0, C11&lt;&gt;0, D11&lt;&gt;0, E11&lt;&gt;0, F11&lt;&gt;0), 7, "")</f>
        <v>7</v>
      </c>
      <c r="B11" s="119" t="s">
        <v>485</v>
      </c>
      <c r="C11" s="151">
        <v>43770</v>
      </c>
      <c r="D11" s="118">
        <v>1</v>
      </c>
      <c r="E11" s="35">
        <v>1</v>
      </c>
      <c r="F11" s="150" t="s">
        <v>486</v>
      </c>
    </row>
    <row r="12" spans="1:6" ht="90" x14ac:dyDescent="0.25">
      <c r="A12" s="71">
        <f>IF( OR(B12&lt;&gt;0, C12&lt;&gt;0, D12&lt;&gt;0, E12&lt;&gt;0, F12&lt;&gt;0), 8, "")</f>
        <v>8</v>
      </c>
      <c r="B12" s="119" t="s">
        <v>487</v>
      </c>
      <c r="C12" s="151">
        <v>43770</v>
      </c>
      <c r="D12" s="118">
        <v>1</v>
      </c>
      <c r="E12" s="35">
        <v>1</v>
      </c>
      <c r="F12" s="150" t="s">
        <v>488</v>
      </c>
    </row>
    <row r="13" spans="1:6" ht="90" x14ac:dyDescent="0.25">
      <c r="A13" s="71">
        <f>IF( OR(B13&lt;&gt;0, C13&lt;&gt;0, D13&lt;&gt;0, E13&lt;&gt;0, F13&lt;&gt;0), 9, "")</f>
        <v>9</v>
      </c>
      <c r="B13" s="119" t="s">
        <v>489</v>
      </c>
      <c r="C13" s="151">
        <v>43754</v>
      </c>
      <c r="D13" s="118">
        <v>2</v>
      </c>
      <c r="E13" s="37">
        <v>0</v>
      </c>
      <c r="F13" s="37">
        <v>0</v>
      </c>
    </row>
    <row r="14" spans="1:6" ht="105" x14ac:dyDescent="0.25">
      <c r="A14" s="71">
        <f>IF( OR(B14&lt;&gt;0, C14&lt;&gt;0, D14&lt;&gt;0, E14&lt;&gt;0, F14&lt;&gt;0), 10, "")</f>
        <v>10</v>
      </c>
      <c r="B14" s="119" t="s">
        <v>492</v>
      </c>
      <c r="C14" s="151">
        <v>43784</v>
      </c>
      <c r="D14" s="118">
        <v>2</v>
      </c>
      <c r="E14" s="37">
        <v>0</v>
      </c>
      <c r="F14" s="35">
        <v>0</v>
      </c>
    </row>
    <row r="15" spans="1:6" ht="105" x14ac:dyDescent="0.25">
      <c r="A15" s="152">
        <v>11</v>
      </c>
      <c r="B15" s="153" t="s">
        <v>491</v>
      </c>
      <c r="C15" s="152" t="s">
        <v>490</v>
      </c>
      <c r="D15" s="152">
        <v>1</v>
      </c>
      <c r="E15" s="152">
        <v>0</v>
      </c>
      <c r="F15" s="152">
        <v>0</v>
      </c>
    </row>
    <row r="16" spans="1:6" ht="105" x14ac:dyDescent="0.25">
      <c r="A16" s="152">
        <v>12</v>
      </c>
      <c r="B16" s="153" t="s">
        <v>522</v>
      </c>
      <c r="C16" s="154">
        <v>43804</v>
      </c>
      <c r="D16" s="152">
        <v>1</v>
      </c>
      <c r="E16" s="152"/>
      <c r="F16" s="152"/>
    </row>
    <row r="17" spans="1:6" ht="105" x14ac:dyDescent="0.25">
      <c r="A17" s="152">
        <v>13</v>
      </c>
      <c r="B17" s="153" t="s">
        <v>525</v>
      </c>
      <c r="C17" s="152" t="s">
        <v>523</v>
      </c>
      <c r="D17" s="152">
        <v>12</v>
      </c>
      <c r="E17" s="152">
        <v>1</v>
      </c>
      <c r="F17" s="153" t="s">
        <v>524</v>
      </c>
    </row>
    <row r="18" spans="1:6" ht="75" x14ac:dyDescent="0.25">
      <c r="A18" s="152">
        <v>14</v>
      </c>
      <c r="B18" s="153" t="s">
        <v>526</v>
      </c>
      <c r="C18" s="154">
        <v>43807</v>
      </c>
      <c r="D18" s="152">
        <v>2</v>
      </c>
      <c r="E18" s="152"/>
      <c r="F18" s="152"/>
    </row>
    <row r="19" spans="1:6" ht="255" x14ac:dyDescent="0.25">
      <c r="A19" s="152">
        <v>15</v>
      </c>
      <c r="B19" s="153" t="s">
        <v>525</v>
      </c>
      <c r="C19" s="159">
        <v>43859</v>
      </c>
      <c r="D19" s="152">
        <v>8</v>
      </c>
      <c r="E19" s="152">
        <v>3</v>
      </c>
      <c r="F19" s="153" t="s">
        <v>542</v>
      </c>
    </row>
    <row r="20" spans="1:6" ht="75" x14ac:dyDescent="0.25">
      <c r="A20" s="152">
        <v>16</v>
      </c>
      <c r="B20" s="153" t="s">
        <v>543</v>
      </c>
      <c r="C20" s="152" t="s">
        <v>541</v>
      </c>
      <c r="D20" s="152"/>
      <c r="E20" s="152">
        <v>1</v>
      </c>
      <c r="F20" s="153" t="s">
        <v>552</v>
      </c>
    </row>
    <row r="21" spans="1:6" ht="75" x14ac:dyDescent="0.25">
      <c r="A21" s="152">
        <v>17</v>
      </c>
      <c r="B21" s="153" t="s">
        <v>544</v>
      </c>
      <c r="C21" s="154" t="s">
        <v>547</v>
      </c>
      <c r="D21" s="152">
        <v>1</v>
      </c>
      <c r="E21" s="152">
        <v>1</v>
      </c>
      <c r="F21" s="153" t="s">
        <v>545</v>
      </c>
    </row>
    <row r="22" spans="1:6" ht="75" x14ac:dyDescent="0.25">
      <c r="A22" s="152">
        <v>18</v>
      </c>
      <c r="B22" s="153" t="s">
        <v>546</v>
      </c>
      <c r="C22" s="152" t="s">
        <v>547</v>
      </c>
      <c r="D22" s="152">
        <v>1</v>
      </c>
      <c r="E22" s="152"/>
      <c r="F22" s="152"/>
    </row>
    <row r="23" spans="1:6" ht="60" x14ac:dyDescent="0.25">
      <c r="A23" s="152">
        <v>19</v>
      </c>
      <c r="B23" s="153" t="s">
        <v>553</v>
      </c>
      <c r="C23" s="154">
        <v>43938</v>
      </c>
      <c r="D23" s="152">
        <v>1</v>
      </c>
      <c r="E23" s="152"/>
      <c r="F23" s="152"/>
    </row>
    <row r="24" spans="1:6" ht="30" x14ac:dyDescent="0.25">
      <c r="A24" s="152">
        <v>20</v>
      </c>
      <c r="B24" s="153" t="s">
        <v>548</v>
      </c>
      <c r="C24" s="152" t="s">
        <v>550</v>
      </c>
      <c r="D24" s="152">
        <v>1</v>
      </c>
      <c r="E24" s="152"/>
      <c r="F24" s="152"/>
    </row>
  </sheetData>
  <sheetProtection selectLockedCells="1"/>
  <mergeCells count="6">
    <mergeCell ref="A1:F1"/>
    <mergeCell ref="A3:A4"/>
    <mergeCell ref="B3:B4"/>
    <mergeCell ref="D3:D4"/>
    <mergeCell ref="C3:C4"/>
    <mergeCell ref="E3:F3"/>
  </mergeCells>
  <conditionalFormatting sqref="A5:A14">
    <cfRule type="cellIs" dxfId="23" priority="2" operator="between">
      <formula>0</formula>
      <formula>11</formula>
    </cfRule>
  </conditionalFormatting>
  <conditionalFormatting sqref="B5:F14">
    <cfRule type="cellIs" dxfId="22" priority="1" operator="greaterThan">
      <formula>0</formula>
    </cfRule>
  </conditionalFormatting>
  <dataValidations count="2">
    <dataValidation allowBlank="1" showErrorMessage="1" error="Введите либо 0, либо целое положительное число." sqref="A5:A14"/>
    <dataValidation type="whole" operator="lessThanOrEqual" allowBlank="1" showInputMessage="1" showErrorMessage="1" sqref="D5:D14">
      <formula1>50</formula1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WhiteSpace="0" view="pageLayout" workbookViewId="0">
      <selection activeCell="A3" sqref="A3"/>
    </sheetView>
  </sheetViews>
  <sheetFormatPr defaultRowHeight="15" x14ac:dyDescent="0.25"/>
  <cols>
    <col min="1" max="1" width="4" style="1" customWidth="1"/>
    <col min="2" max="2" width="32" style="1" customWidth="1"/>
    <col min="3" max="3" width="50.42578125" style="1" customWidth="1"/>
    <col min="4" max="4" width="44.7109375" style="1" customWidth="1"/>
    <col min="5" max="16384" width="9.140625" style="1"/>
  </cols>
  <sheetData>
    <row r="1" spans="1:4" ht="15" customHeight="1" x14ac:dyDescent="0.25">
      <c r="A1" s="179" t="s">
        <v>353</v>
      </c>
      <c r="B1" s="179"/>
      <c r="C1" s="179"/>
      <c r="D1" s="179"/>
    </row>
    <row r="3" spans="1:4" ht="45" customHeight="1" x14ac:dyDescent="0.25">
      <c r="A3" s="116" t="s">
        <v>147</v>
      </c>
      <c r="B3" s="116" t="s">
        <v>383</v>
      </c>
      <c r="C3" s="116" t="s">
        <v>354</v>
      </c>
      <c r="D3" s="116" t="s">
        <v>160</v>
      </c>
    </row>
    <row r="4" spans="1:4" x14ac:dyDescent="0.25">
      <c r="A4" s="71" t="str">
        <f>IF(OR(B4&lt;&gt;0, C4&lt;&gt;0, D4&lt;&gt;0), 1, "")</f>
        <v/>
      </c>
      <c r="B4" s="118"/>
      <c r="C4" s="35"/>
      <c r="D4" s="35"/>
    </row>
    <row r="5" spans="1:4" x14ac:dyDescent="0.25">
      <c r="A5" s="71" t="str">
        <f>IF(OR(B5&lt;&gt;0, C5&lt;&gt;0, D5&lt;&gt;0), 2, "")</f>
        <v/>
      </c>
      <c r="B5" s="118"/>
      <c r="C5" s="35"/>
      <c r="D5" s="35"/>
    </row>
    <row r="6" spans="1:4" x14ac:dyDescent="0.25">
      <c r="A6" s="71" t="str">
        <f>IF(OR(B6&lt;&gt;0, C6&lt;&gt;0, D6&lt;&gt;0), 3, "")</f>
        <v/>
      </c>
      <c r="B6" s="118"/>
      <c r="C6" s="35"/>
      <c r="D6" s="35"/>
    </row>
    <row r="7" spans="1:4" x14ac:dyDescent="0.25">
      <c r="A7" s="71" t="str">
        <f>IF(OR(B7&lt;&gt;0, C7&lt;&gt;0, D7&lt;&gt;0), 4, "")</f>
        <v/>
      </c>
      <c r="B7" s="118"/>
      <c r="C7" s="35"/>
      <c r="D7" s="35"/>
    </row>
    <row r="8" spans="1:4" x14ac:dyDescent="0.25">
      <c r="A8" s="71" t="str">
        <f>IF(OR(B8&lt;&gt;0, C8&lt;&gt;0, D8&lt;&gt;0), 5, "")</f>
        <v/>
      </c>
      <c r="B8" s="118"/>
      <c r="C8" s="35"/>
      <c r="D8" s="35"/>
    </row>
    <row r="9" spans="1:4" x14ac:dyDescent="0.25">
      <c r="A9" s="71" t="str">
        <f>IF(OR(B9&lt;&gt;0, C9&lt;&gt;0, D9&lt;&gt;0), 6, "")</f>
        <v/>
      </c>
      <c r="B9" s="118"/>
      <c r="C9" s="35"/>
      <c r="D9" s="35"/>
    </row>
    <row r="10" spans="1:4" x14ac:dyDescent="0.25">
      <c r="A10" s="71" t="str">
        <f>IF(OR(B10&lt;&gt;0, C10&lt;&gt;0, D10&lt;&gt;0), 7, "")</f>
        <v/>
      </c>
      <c r="B10" s="118"/>
      <c r="C10" s="35"/>
      <c r="D10" s="35"/>
    </row>
    <row r="11" spans="1:4" x14ac:dyDescent="0.25">
      <c r="A11" s="71" t="str">
        <f>IF(OR(B11&lt;&gt;0, C11&lt;&gt;0, D11&lt;&gt;0), 8, "")</f>
        <v/>
      </c>
      <c r="B11" s="118"/>
      <c r="C11" s="35"/>
      <c r="D11" s="35"/>
    </row>
    <row r="12" spans="1:4" x14ac:dyDescent="0.25">
      <c r="A12" s="71" t="str">
        <f>IF(OR(B12&lt;&gt;0, C12&lt;&gt;0, D12&lt;&gt;0), 9, "")</f>
        <v/>
      </c>
      <c r="B12" s="118"/>
      <c r="C12" s="35"/>
      <c r="D12" s="35"/>
    </row>
    <row r="13" spans="1:4" x14ac:dyDescent="0.25">
      <c r="A13" s="71" t="str">
        <f>IF(OR(B13&lt;&gt;0, C13&lt;&gt;0, D13&lt;&gt;0), 10, "")</f>
        <v/>
      </c>
      <c r="B13" s="118"/>
      <c r="C13" s="35"/>
      <c r="D13" s="35"/>
    </row>
  </sheetData>
  <sheetProtection password="CC43" sheet="1" objects="1" scenarios="1" selectLockedCells="1"/>
  <mergeCells count="1">
    <mergeCell ref="A1:D1"/>
  </mergeCells>
  <conditionalFormatting sqref="A4:A13">
    <cfRule type="cellIs" dxfId="21" priority="2" operator="between">
      <formula>0</formula>
      <formula>11</formula>
    </cfRule>
  </conditionalFormatting>
  <conditionalFormatting sqref="B4:D13">
    <cfRule type="cellIs" dxfId="20" priority="1" operator="greaterThan">
      <formula>0</formula>
    </cfRule>
  </conditionalFormatting>
  <dataValidations count="1">
    <dataValidation allowBlank="1" showErrorMessage="1" error="Введите либо 0, либо целое положительное число." sqref="A4:A13"/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WhiteSpace="0" view="pageLayout" topLeftCell="A18" workbookViewId="0">
      <selection activeCell="B16" sqref="B16"/>
    </sheetView>
  </sheetViews>
  <sheetFormatPr defaultRowHeight="15" x14ac:dyDescent="0.25"/>
  <cols>
    <col min="1" max="1" width="26.7109375" style="1" customWidth="1"/>
    <col min="2" max="2" width="33.28515625" style="1" customWidth="1"/>
    <col min="3" max="3" width="15.5703125" style="1" customWidth="1"/>
    <col min="4" max="4" width="29.7109375" style="1" customWidth="1"/>
    <col min="5" max="5" width="25.7109375" style="1" customWidth="1"/>
    <col min="6" max="16384" width="9.140625" style="1"/>
  </cols>
  <sheetData>
    <row r="1" spans="1:5" ht="15.75" x14ac:dyDescent="0.25">
      <c r="A1" s="179" t="s">
        <v>355</v>
      </c>
      <c r="B1" s="179"/>
      <c r="C1" s="179"/>
      <c r="D1" s="179"/>
      <c r="E1" s="179"/>
    </row>
    <row r="3" spans="1:5" ht="30" customHeight="1" x14ac:dyDescent="0.25">
      <c r="A3" s="199" t="s">
        <v>356</v>
      </c>
      <c r="B3" s="199" t="s">
        <v>357</v>
      </c>
      <c r="C3" s="199" t="s">
        <v>343</v>
      </c>
      <c r="D3" s="199" t="s">
        <v>358</v>
      </c>
      <c r="E3" s="199"/>
    </row>
    <row r="4" spans="1:5" ht="45" customHeight="1" x14ac:dyDescent="0.25">
      <c r="A4" s="199"/>
      <c r="B4" s="199"/>
      <c r="C4" s="199"/>
      <c r="D4" s="120" t="s">
        <v>163</v>
      </c>
      <c r="E4" s="120" t="s">
        <v>162</v>
      </c>
    </row>
    <row r="5" spans="1:5" ht="63.75" x14ac:dyDescent="0.25">
      <c r="A5" s="92" t="s">
        <v>396</v>
      </c>
      <c r="B5" s="92" t="s">
        <v>397</v>
      </c>
      <c r="C5" s="140" t="s">
        <v>395</v>
      </c>
      <c r="D5" s="140" t="s">
        <v>333</v>
      </c>
      <c r="E5" s="140">
        <v>1</v>
      </c>
    </row>
    <row r="6" spans="1:5" ht="63.75" x14ac:dyDescent="0.25">
      <c r="A6" s="91" t="s">
        <v>528</v>
      </c>
      <c r="B6" s="91" t="s">
        <v>562</v>
      </c>
      <c r="C6" s="19" t="s">
        <v>527</v>
      </c>
      <c r="D6" s="19">
        <v>2</v>
      </c>
      <c r="E6" s="156"/>
    </row>
    <row r="7" spans="1:5" ht="102.75" x14ac:dyDescent="0.25">
      <c r="A7" s="155" t="s">
        <v>396</v>
      </c>
      <c r="B7" s="157" t="s">
        <v>534</v>
      </c>
      <c r="C7" s="156" t="s">
        <v>529</v>
      </c>
      <c r="D7" s="156"/>
      <c r="E7" s="156">
        <v>3</v>
      </c>
    </row>
    <row r="8" spans="1:5" ht="38.25" x14ac:dyDescent="0.25">
      <c r="A8" s="155" t="s">
        <v>530</v>
      </c>
      <c r="B8" s="155" t="s">
        <v>531</v>
      </c>
      <c r="C8" s="158">
        <v>43761</v>
      </c>
      <c r="D8" s="156"/>
      <c r="E8" s="156">
        <v>1</v>
      </c>
    </row>
    <row r="9" spans="1:5" ht="102" x14ac:dyDescent="0.25">
      <c r="A9" s="155" t="s">
        <v>396</v>
      </c>
      <c r="B9" s="155" t="s">
        <v>532</v>
      </c>
      <c r="C9" s="156" t="s">
        <v>533</v>
      </c>
      <c r="D9" s="156">
        <v>2</v>
      </c>
      <c r="E9" s="156"/>
    </row>
    <row r="10" spans="1:5" ht="63.75" x14ac:dyDescent="0.25">
      <c r="A10" s="91" t="s">
        <v>536</v>
      </c>
      <c r="B10" s="91" t="s">
        <v>535</v>
      </c>
      <c r="C10" s="17">
        <v>43807</v>
      </c>
      <c r="D10" s="156"/>
      <c r="E10" s="19">
        <v>2</v>
      </c>
    </row>
    <row r="11" spans="1:5" ht="63.75" x14ac:dyDescent="0.25">
      <c r="A11" s="155" t="s">
        <v>396</v>
      </c>
      <c r="B11" s="155" t="s">
        <v>537</v>
      </c>
      <c r="C11" s="156" t="s">
        <v>523</v>
      </c>
      <c r="D11" s="156"/>
      <c r="E11" s="156">
        <v>1</v>
      </c>
    </row>
    <row r="12" spans="1:5" ht="63.75" x14ac:dyDescent="0.25">
      <c r="A12" s="155" t="s">
        <v>396</v>
      </c>
      <c r="B12" s="155" t="s">
        <v>537</v>
      </c>
      <c r="C12" s="158">
        <v>43859</v>
      </c>
      <c r="D12" s="156"/>
      <c r="E12" s="156">
        <v>3</v>
      </c>
    </row>
    <row r="13" spans="1:5" ht="38.25" x14ac:dyDescent="0.25">
      <c r="A13" s="155" t="s">
        <v>396</v>
      </c>
      <c r="B13" s="155" t="s">
        <v>538</v>
      </c>
      <c r="C13" s="158">
        <v>43938</v>
      </c>
      <c r="D13" s="156"/>
      <c r="E13" s="156">
        <v>1</v>
      </c>
    </row>
    <row r="14" spans="1:5" ht="114.75" x14ac:dyDescent="0.25">
      <c r="A14" s="155" t="s">
        <v>396</v>
      </c>
      <c r="B14" s="155" t="s">
        <v>539</v>
      </c>
      <c r="C14" s="156" t="s">
        <v>540</v>
      </c>
      <c r="D14" s="156">
        <v>2</v>
      </c>
      <c r="E14" s="156"/>
    </row>
    <row r="15" spans="1:5" ht="30" x14ac:dyDescent="0.25">
      <c r="A15" s="37" t="s">
        <v>396</v>
      </c>
      <c r="B15" s="37" t="s">
        <v>549</v>
      </c>
      <c r="C15" s="36" t="s">
        <v>550</v>
      </c>
      <c r="D15" s="36"/>
      <c r="E15" s="36">
        <v>1</v>
      </c>
    </row>
    <row r="16" spans="1:5" ht="120" x14ac:dyDescent="0.25">
      <c r="A16" s="37" t="s">
        <v>396</v>
      </c>
      <c r="B16" s="37" t="s">
        <v>551</v>
      </c>
      <c r="C16" s="160">
        <v>43965</v>
      </c>
      <c r="D16" s="36">
        <v>1</v>
      </c>
      <c r="E16" s="36"/>
    </row>
    <row r="17" spans="1:5" ht="75" x14ac:dyDescent="0.25">
      <c r="A17" s="37" t="s">
        <v>555</v>
      </c>
      <c r="B17" s="37" t="s">
        <v>554</v>
      </c>
      <c r="C17" s="36" t="s">
        <v>556</v>
      </c>
      <c r="D17" s="36">
        <v>1</v>
      </c>
      <c r="E17" s="163"/>
    </row>
    <row r="18" spans="1:5" ht="60" x14ac:dyDescent="0.25">
      <c r="A18" s="37" t="s">
        <v>396</v>
      </c>
      <c r="B18" s="37" t="s">
        <v>557</v>
      </c>
      <c r="C18" s="36" t="s">
        <v>558</v>
      </c>
      <c r="D18" s="162">
        <v>1</v>
      </c>
      <c r="E18" s="36"/>
    </row>
    <row r="19" spans="1:5" ht="105" x14ac:dyDescent="0.25">
      <c r="A19" s="35" t="s">
        <v>560</v>
      </c>
      <c r="B19" s="35" t="s">
        <v>561</v>
      </c>
      <c r="C19" s="34" t="s">
        <v>559</v>
      </c>
      <c r="D19" s="34">
        <v>1</v>
      </c>
      <c r="E19" s="34"/>
    </row>
    <row r="20" spans="1:5" ht="120" x14ac:dyDescent="0.25">
      <c r="A20" s="165" t="s">
        <v>563</v>
      </c>
      <c r="B20" s="165" t="s">
        <v>564</v>
      </c>
      <c r="C20" s="165" t="s">
        <v>559</v>
      </c>
      <c r="D20" s="161">
        <v>1</v>
      </c>
      <c r="E20" s="161"/>
    </row>
    <row r="21" spans="1:5" x14ac:dyDescent="0.25">
      <c r="A21" s="79"/>
      <c r="B21" s="79"/>
      <c r="C21" s="79"/>
      <c r="D21" s="164"/>
      <c r="E21" s="79"/>
    </row>
    <row r="22" spans="1:5" x14ac:dyDescent="0.25">
      <c r="A22" s="79"/>
      <c r="B22" s="79"/>
      <c r="C22" s="79"/>
      <c r="D22" s="79"/>
      <c r="E22" s="79"/>
    </row>
  </sheetData>
  <sheetProtection selectLockedCells="1"/>
  <mergeCells count="5">
    <mergeCell ref="A3:A4"/>
    <mergeCell ref="B3:B4"/>
    <mergeCell ref="C3:C4"/>
    <mergeCell ref="D3:E3"/>
    <mergeCell ref="A1:E1"/>
  </mergeCells>
  <conditionalFormatting sqref="A5:E6 A8:E19 A7 C7:E7">
    <cfRule type="cellIs" dxfId="19" priority="3" operator="greaterThan">
      <formula>0</formula>
    </cfRule>
  </conditionalFormatting>
  <conditionalFormatting sqref="A5:E6 A13 C13:E13 C14 A8:E12 A7 C7:E7">
    <cfRule type="cellIs" dxfId="18" priority="1" operator="greaterThan">
      <formula>0</formula>
    </cfRule>
  </conditionalFormatting>
  <dataValidations count="2">
    <dataValidation type="whole" operator="lessThanOrEqual" allowBlank="1" showInputMessage="1" showErrorMessage="1" sqref="E5:E19 D6:D19">
      <formula1>15</formula1>
    </dataValidation>
    <dataValidation operator="lessThanOrEqual" allowBlank="1" showInputMessage="1" showErrorMessage="1" sqref="D5"/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showWhiteSpace="0" view="pageLayout" workbookViewId="0">
      <selection activeCell="F18" sqref="F18:G18"/>
    </sheetView>
  </sheetViews>
  <sheetFormatPr defaultRowHeight="15" x14ac:dyDescent="0.25"/>
  <cols>
    <col min="1" max="1" width="27.140625" style="1" customWidth="1"/>
    <col min="2" max="7" width="17.28515625" style="1" customWidth="1"/>
    <col min="8" max="16384" width="9.140625" style="1"/>
  </cols>
  <sheetData>
    <row r="1" spans="1:8" ht="15.75" x14ac:dyDescent="0.25">
      <c r="A1" s="179" t="s">
        <v>359</v>
      </c>
      <c r="B1" s="179"/>
      <c r="C1" s="179"/>
      <c r="D1" s="179"/>
      <c r="E1" s="179"/>
      <c r="F1" s="179"/>
      <c r="G1" s="179"/>
      <c r="H1" s="4"/>
    </row>
    <row r="3" spans="1:8" x14ac:dyDescent="0.25">
      <c r="A3" s="185" t="s">
        <v>158</v>
      </c>
      <c r="B3" s="185" t="s">
        <v>205</v>
      </c>
      <c r="C3" s="185"/>
      <c r="D3" s="185"/>
      <c r="E3" s="185"/>
      <c r="F3" s="199" t="s">
        <v>265</v>
      </c>
      <c r="G3" s="199" t="s">
        <v>266</v>
      </c>
    </row>
    <row r="4" spans="1:8" ht="30" customHeight="1" x14ac:dyDescent="0.25">
      <c r="A4" s="185"/>
      <c r="B4" s="67" t="s">
        <v>206</v>
      </c>
      <c r="C4" s="67" t="s">
        <v>207</v>
      </c>
      <c r="D4" s="67" t="s">
        <v>208</v>
      </c>
      <c r="E4" s="67" t="s">
        <v>161</v>
      </c>
      <c r="F4" s="199"/>
      <c r="G4" s="199"/>
    </row>
    <row r="5" spans="1:8" ht="15.75" x14ac:dyDescent="0.25">
      <c r="A5" s="40" t="s">
        <v>209</v>
      </c>
      <c r="B5" s="121">
        <v>15</v>
      </c>
      <c r="C5" s="121">
        <v>4</v>
      </c>
      <c r="D5" s="121">
        <v>10</v>
      </c>
      <c r="E5" s="45">
        <v>29</v>
      </c>
      <c r="F5" s="41">
        <v>2</v>
      </c>
      <c r="G5" s="41">
        <v>3</v>
      </c>
    </row>
    <row r="6" spans="1:8" ht="15.75" x14ac:dyDescent="0.25">
      <c r="A6" s="40" t="s">
        <v>210</v>
      </c>
      <c r="B6" s="121">
        <v>3</v>
      </c>
      <c r="C6" s="121">
        <v>1</v>
      </c>
      <c r="D6" s="121">
        <v>1</v>
      </c>
      <c r="E6" s="45">
        <f>B6+C6+D6</f>
        <v>5</v>
      </c>
      <c r="F6" s="41"/>
      <c r="G6" s="41">
        <v>1</v>
      </c>
    </row>
    <row r="7" spans="1:8" ht="15.75" x14ac:dyDescent="0.25">
      <c r="A7" s="69" t="s">
        <v>19</v>
      </c>
      <c r="B7" s="70">
        <v>18</v>
      </c>
      <c r="C7" s="70">
        <v>5</v>
      </c>
      <c r="D7" s="70">
        <v>11</v>
      </c>
      <c r="E7" s="70">
        <f t="shared" ref="E7" si="0">E5+E6</f>
        <v>34</v>
      </c>
      <c r="F7" s="70">
        <f t="shared" ref="F7" si="1">F5+F6</f>
        <v>2</v>
      </c>
      <c r="G7" s="70">
        <f t="shared" ref="G7" si="2">G5+G6</f>
        <v>4</v>
      </c>
    </row>
    <row r="9" spans="1:8" x14ac:dyDescent="0.25">
      <c r="A9" s="242" t="s">
        <v>360</v>
      </c>
      <c r="B9" s="242"/>
      <c r="C9" s="242"/>
      <c r="D9" s="242"/>
      <c r="E9" s="242"/>
      <c r="F9" s="242"/>
      <c r="G9" s="242"/>
    </row>
    <row r="10" spans="1:8" x14ac:dyDescent="0.25">
      <c r="A10" s="242"/>
      <c r="B10" s="242"/>
      <c r="C10" s="242"/>
      <c r="D10" s="242"/>
      <c r="E10" s="242"/>
      <c r="F10" s="242"/>
      <c r="G10" s="242"/>
    </row>
    <row r="12" spans="1:8" x14ac:dyDescent="0.25">
      <c r="A12" s="243" t="s">
        <v>361</v>
      </c>
      <c r="B12" s="243"/>
      <c r="C12" s="243"/>
      <c r="D12" s="243"/>
      <c r="E12" s="243"/>
      <c r="F12" s="243"/>
      <c r="G12" s="243"/>
    </row>
    <row r="13" spans="1:8" x14ac:dyDescent="0.25">
      <c r="A13" s="185" t="s">
        <v>148</v>
      </c>
      <c r="B13" s="185"/>
      <c r="C13" s="185"/>
      <c r="D13" s="185" t="s">
        <v>158</v>
      </c>
      <c r="E13" s="185"/>
      <c r="F13" s="185" t="s">
        <v>151</v>
      </c>
      <c r="G13" s="185"/>
    </row>
    <row r="14" spans="1:8" x14ac:dyDescent="0.25">
      <c r="A14" s="241" t="s">
        <v>408</v>
      </c>
      <c r="B14" s="241"/>
      <c r="C14" s="241"/>
      <c r="D14" s="241" t="s">
        <v>209</v>
      </c>
      <c r="E14" s="241"/>
      <c r="F14" s="241" t="s">
        <v>430</v>
      </c>
      <c r="G14" s="241"/>
    </row>
    <row r="15" spans="1:8" x14ac:dyDescent="0.25">
      <c r="A15" s="241" t="s">
        <v>455</v>
      </c>
      <c r="B15" s="241"/>
      <c r="C15" s="241"/>
      <c r="D15" s="241" t="s">
        <v>210</v>
      </c>
      <c r="E15" s="241"/>
      <c r="F15" s="241" t="s">
        <v>430</v>
      </c>
      <c r="G15" s="241"/>
    </row>
    <row r="16" spans="1:8" x14ac:dyDescent="0.25">
      <c r="A16" s="241" t="s">
        <v>423</v>
      </c>
      <c r="B16" s="241"/>
      <c r="C16" s="241"/>
      <c r="D16" s="241" t="s">
        <v>209</v>
      </c>
      <c r="E16" s="241"/>
      <c r="F16" s="241" t="s">
        <v>430</v>
      </c>
      <c r="G16" s="241"/>
    </row>
    <row r="17" spans="1:7" x14ac:dyDescent="0.25">
      <c r="A17" s="241" t="s">
        <v>422</v>
      </c>
      <c r="B17" s="241"/>
      <c r="C17" s="241"/>
      <c r="D17" s="241" t="s">
        <v>209</v>
      </c>
      <c r="E17" s="241"/>
      <c r="F17" s="241" t="s">
        <v>430</v>
      </c>
      <c r="G17" s="241"/>
    </row>
    <row r="18" spans="1:7" x14ac:dyDescent="0.25">
      <c r="A18" s="241" t="s">
        <v>418</v>
      </c>
      <c r="B18" s="241"/>
      <c r="C18" s="241"/>
      <c r="D18" s="241" t="s">
        <v>209</v>
      </c>
      <c r="E18" s="241"/>
      <c r="F18" s="241" t="s">
        <v>430</v>
      </c>
      <c r="G18" s="241"/>
    </row>
    <row r="19" spans="1:7" x14ac:dyDescent="0.25">
      <c r="A19" s="241"/>
      <c r="B19" s="241"/>
      <c r="C19" s="241"/>
      <c r="D19" s="241"/>
      <c r="E19" s="241"/>
      <c r="F19" s="241"/>
      <c r="G19" s="241"/>
    </row>
    <row r="20" spans="1:7" x14ac:dyDescent="0.25">
      <c r="A20" s="241"/>
      <c r="B20" s="241"/>
      <c r="C20" s="241"/>
      <c r="D20" s="241"/>
      <c r="E20" s="241"/>
      <c r="F20" s="241"/>
      <c r="G20" s="241"/>
    </row>
    <row r="21" spans="1:7" x14ac:dyDescent="0.25">
      <c r="A21" s="241"/>
      <c r="B21" s="241"/>
      <c r="C21" s="241"/>
      <c r="D21" s="241"/>
      <c r="E21" s="241"/>
      <c r="F21" s="241"/>
      <c r="G21" s="241"/>
    </row>
    <row r="22" spans="1:7" x14ac:dyDescent="0.25">
      <c r="A22" s="241"/>
      <c r="B22" s="241"/>
      <c r="C22" s="241"/>
      <c r="D22" s="241"/>
      <c r="E22" s="241"/>
      <c r="F22" s="241"/>
      <c r="G22" s="241"/>
    </row>
    <row r="23" spans="1:7" x14ac:dyDescent="0.25">
      <c r="A23" s="241"/>
      <c r="B23" s="241"/>
      <c r="C23" s="241"/>
      <c r="D23" s="241"/>
      <c r="E23" s="241"/>
      <c r="F23" s="241"/>
      <c r="G23" s="241"/>
    </row>
    <row r="24" spans="1:7" x14ac:dyDescent="0.25">
      <c r="A24" s="241"/>
      <c r="B24" s="241"/>
      <c r="C24" s="241"/>
      <c r="D24" s="241"/>
      <c r="E24" s="241"/>
      <c r="F24" s="241"/>
      <c r="G24" s="241"/>
    </row>
    <row r="25" spans="1:7" x14ac:dyDescent="0.25">
      <c r="A25" s="241"/>
      <c r="B25" s="241"/>
      <c r="C25" s="241"/>
      <c r="D25" s="241"/>
      <c r="E25" s="241"/>
      <c r="F25" s="241"/>
      <c r="G25" s="241"/>
    </row>
    <row r="26" spans="1:7" x14ac:dyDescent="0.25">
      <c r="A26" s="241"/>
      <c r="B26" s="241"/>
      <c r="C26" s="241"/>
      <c r="D26" s="241"/>
      <c r="E26" s="241"/>
      <c r="F26" s="241"/>
      <c r="G26" s="241"/>
    </row>
    <row r="27" spans="1:7" x14ac:dyDescent="0.25">
      <c r="A27" s="241"/>
      <c r="B27" s="241"/>
      <c r="C27" s="241"/>
      <c r="D27" s="241"/>
      <c r="E27" s="241"/>
      <c r="F27" s="241"/>
      <c r="G27" s="241"/>
    </row>
    <row r="28" spans="1:7" x14ac:dyDescent="0.25">
      <c r="A28" s="241"/>
      <c r="B28" s="241"/>
      <c r="C28" s="241"/>
      <c r="D28" s="241"/>
      <c r="E28" s="241"/>
      <c r="F28" s="241"/>
      <c r="G28" s="241"/>
    </row>
    <row r="29" spans="1:7" x14ac:dyDescent="0.25">
      <c r="A29" s="241"/>
      <c r="B29" s="241"/>
      <c r="C29" s="241"/>
      <c r="D29" s="241"/>
      <c r="E29" s="241"/>
      <c r="F29" s="241"/>
      <c r="G29" s="241"/>
    </row>
    <row r="30" spans="1:7" x14ac:dyDescent="0.25">
      <c r="A30" s="241"/>
      <c r="B30" s="241"/>
      <c r="C30" s="241"/>
      <c r="D30" s="241"/>
      <c r="E30" s="241"/>
      <c r="F30" s="241"/>
      <c r="G30" s="241"/>
    </row>
    <row r="31" spans="1:7" x14ac:dyDescent="0.25">
      <c r="A31" s="241"/>
      <c r="B31" s="241"/>
      <c r="C31" s="241"/>
      <c r="D31" s="241"/>
      <c r="E31" s="241"/>
      <c r="F31" s="241"/>
      <c r="G31" s="241"/>
    </row>
    <row r="32" spans="1:7" x14ac:dyDescent="0.25">
      <c r="A32" s="241"/>
      <c r="B32" s="241"/>
      <c r="C32" s="241"/>
      <c r="D32" s="241"/>
      <c r="E32" s="241"/>
      <c r="F32" s="241"/>
      <c r="G32" s="241"/>
    </row>
    <row r="33" spans="1:7" x14ac:dyDescent="0.25">
      <c r="A33" s="66"/>
      <c r="B33" s="66"/>
      <c r="C33" s="66"/>
      <c r="D33" s="66"/>
      <c r="E33" s="66"/>
      <c r="F33" s="66"/>
      <c r="G33" s="66"/>
    </row>
  </sheetData>
  <sheetProtection selectLockedCells="1"/>
  <mergeCells count="67">
    <mergeCell ref="A1:G1"/>
    <mergeCell ref="F30:G30"/>
    <mergeCell ref="D30:E30"/>
    <mergeCell ref="D32:E32"/>
    <mergeCell ref="D31:E31"/>
    <mergeCell ref="F31:G31"/>
    <mergeCell ref="F32:G32"/>
    <mergeCell ref="D29:E29"/>
    <mergeCell ref="F29:G29"/>
    <mergeCell ref="F28:G28"/>
    <mergeCell ref="F26:G26"/>
    <mergeCell ref="F27:G27"/>
    <mergeCell ref="A29:C29"/>
    <mergeCell ref="A30:C30"/>
    <mergeCell ref="A31:C31"/>
    <mergeCell ref="A32:C32"/>
    <mergeCell ref="A25:C25"/>
    <mergeCell ref="A26:C26"/>
    <mergeCell ref="A27:C27"/>
    <mergeCell ref="A28:C28"/>
    <mergeCell ref="D25:E25"/>
    <mergeCell ref="D26:E26"/>
    <mergeCell ref="D27:E27"/>
    <mergeCell ref="D28:E28"/>
    <mergeCell ref="F25:G25"/>
    <mergeCell ref="F23:G23"/>
    <mergeCell ref="F24:G24"/>
    <mergeCell ref="A12:G12"/>
    <mergeCell ref="F21:G21"/>
    <mergeCell ref="D21:E21"/>
    <mergeCell ref="A21:C21"/>
    <mergeCell ref="A23:C23"/>
    <mergeCell ref="A24:C24"/>
    <mergeCell ref="D22:E22"/>
    <mergeCell ref="D23:E23"/>
    <mergeCell ref="D24:E24"/>
    <mergeCell ref="F22:G22"/>
    <mergeCell ref="A17:C17"/>
    <mergeCell ref="A20:C20"/>
    <mergeCell ref="D20:E20"/>
    <mergeCell ref="A22:C22"/>
    <mergeCell ref="F15:G15"/>
    <mergeCell ref="F16:G16"/>
    <mergeCell ref="F17:G17"/>
    <mergeCell ref="F18:G18"/>
    <mergeCell ref="F19:G19"/>
    <mergeCell ref="D16:E16"/>
    <mergeCell ref="A16:C16"/>
    <mergeCell ref="A18:C18"/>
    <mergeCell ref="A15:C15"/>
    <mergeCell ref="D15:E15"/>
    <mergeCell ref="F20:G20"/>
    <mergeCell ref="D18:E18"/>
    <mergeCell ref="D17:E17"/>
    <mergeCell ref="A19:C19"/>
    <mergeCell ref="D19:E19"/>
    <mergeCell ref="F3:F4"/>
    <mergeCell ref="G3:G4"/>
    <mergeCell ref="A3:A4"/>
    <mergeCell ref="B3:E3"/>
    <mergeCell ref="D14:E14"/>
    <mergeCell ref="F14:G14"/>
    <mergeCell ref="A13:C13"/>
    <mergeCell ref="D13:E13"/>
    <mergeCell ref="F13:G13"/>
    <mergeCell ref="A14:C14"/>
    <mergeCell ref="A9:G10"/>
  </mergeCells>
  <conditionalFormatting sqref="A14:G24">
    <cfRule type="cellIs" dxfId="17" priority="2" operator="greaterThan">
      <formula>0</formula>
    </cfRule>
  </conditionalFormatting>
  <conditionalFormatting sqref="A25:G33">
    <cfRule type="cellIs" dxfId="16" priority="1" operator="greaterThan">
      <formula>0</formula>
    </cfRule>
  </conditionalFormatting>
  <dataValidations count="5">
    <dataValidation type="list" allowBlank="1" showErrorMessage="1" sqref="D14:E24">
      <formula1>"Преподаватель, Концертмейстер"</formula1>
    </dataValidation>
    <dataValidation type="list" allowBlank="1" showErrorMessage="1" sqref="F14:G24">
      <formula1>"Первая, Высшая"</formula1>
    </dataValidation>
    <dataValidation type="whole" allowBlank="1" showInputMessage="1" showErrorMessage="1" sqref="F5:G6 B5:D6">
      <formula1>0</formula1>
      <formula2>50</formula2>
    </dataValidation>
    <dataValidation type="list" allowBlank="1" showInputMessage="1" showErrorMessage="1" sqref="D25:E32">
      <formula1>"Преподаватель, Концертмейстер"</formula1>
    </dataValidation>
    <dataValidation type="list" allowBlank="1" showInputMessage="1" showErrorMessage="1" sqref="F25:G32">
      <formula1>"Первая, Высшая"</formula1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showWhiteSpace="0" view="pageLayout" workbookViewId="0">
      <selection activeCell="F23" sqref="F23"/>
    </sheetView>
  </sheetViews>
  <sheetFormatPr defaultRowHeight="15" x14ac:dyDescent="0.25"/>
  <cols>
    <col min="1" max="1" width="8.7109375" style="1" customWidth="1"/>
    <col min="2" max="2" width="7.5703125" style="1" customWidth="1"/>
    <col min="3" max="3" width="8" style="1" customWidth="1"/>
    <col min="4" max="4" width="13.5703125" style="1" customWidth="1"/>
    <col min="5" max="5" width="13.140625" style="1" customWidth="1"/>
    <col min="6" max="6" width="13.42578125" style="1" customWidth="1"/>
    <col min="7" max="7" width="12.5703125" style="1" customWidth="1"/>
    <col min="8" max="8" width="10.42578125" style="1" customWidth="1"/>
    <col min="9" max="16384" width="9.140625" style="1"/>
  </cols>
  <sheetData>
    <row r="1" spans="1:8" ht="15.75" x14ac:dyDescent="0.25">
      <c r="A1" s="179" t="s">
        <v>269</v>
      </c>
      <c r="B1" s="179"/>
      <c r="C1" s="179"/>
      <c r="D1" s="179"/>
      <c r="E1" s="179"/>
      <c r="F1" s="179"/>
      <c r="G1" s="179"/>
      <c r="H1" s="179"/>
    </row>
    <row r="3" spans="1:8" ht="45" customHeight="1" x14ac:dyDescent="0.25">
      <c r="A3" s="199" t="s">
        <v>216</v>
      </c>
      <c r="B3" s="199" t="s">
        <v>222</v>
      </c>
      <c r="C3" s="199"/>
      <c r="D3" s="199"/>
      <c r="E3" s="199" t="s">
        <v>219</v>
      </c>
      <c r="F3" s="199"/>
      <c r="G3" s="199" t="s">
        <v>226</v>
      </c>
      <c r="H3" s="199"/>
    </row>
    <row r="4" spans="1:8" ht="45" customHeight="1" x14ac:dyDescent="0.25">
      <c r="A4" s="199"/>
      <c r="B4" s="48" t="s">
        <v>217</v>
      </c>
      <c r="C4" s="48" t="s">
        <v>218</v>
      </c>
      <c r="D4" s="48" t="s">
        <v>225</v>
      </c>
      <c r="E4" s="48" t="s">
        <v>220</v>
      </c>
      <c r="F4" s="48" t="s">
        <v>221</v>
      </c>
      <c r="G4" s="48" t="s">
        <v>223</v>
      </c>
      <c r="H4" s="48" t="s">
        <v>224</v>
      </c>
    </row>
    <row r="5" spans="1:8" x14ac:dyDescent="0.2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</row>
    <row r="6" spans="1:8" x14ac:dyDescent="0.25">
      <c r="A6" s="141">
        <v>3</v>
      </c>
      <c r="B6" s="141">
        <v>0</v>
      </c>
      <c r="C6" s="141">
        <v>0</v>
      </c>
      <c r="D6" s="141">
        <v>1</v>
      </c>
      <c r="E6" s="141">
        <v>0</v>
      </c>
      <c r="F6" s="141">
        <v>0</v>
      </c>
      <c r="G6" s="141">
        <v>1</v>
      </c>
      <c r="H6" s="141">
        <v>0</v>
      </c>
    </row>
    <row r="9" spans="1:8" ht="15" customHeight="1" x14ac:dyDescent="0.25">
      <c r="A9" s="199" t="s">
        <v>227</v>
      </c>
      <c r="B9" s="199"/>
      <c r="C9" s="199"/>
      <c r="D9" s="199"/>
      <c r="E9" s="199"/>
      <c r="F9" s="199" t="s">
        <v>231</v>
      </c>
      <c r="G9" s="185" t="s">
        <v>233</v>
      </c>
      <c r="H9" s="185"/>
    </row>
    <row r="10" spans="1:8" ht="60" customHeight="1" x14ac:dyDescent="0.25">
      <c r="A10" s="199" t="s">
        <v>228</v>
      </c>
      <c r="B10" s="199"/>
      <c r="C10" s="199" t="s">
        <v>229</v>
      </c>
      <c r="D10" s="199"/>
      <c r="E10" s="48" t="s">
        <v>230</v>
      </c>
      <c r="F10" s="199"/>
      <c r="G10" s="50" t="s">
        <v>161</v>
      </c>
      <c r="H10" s="48" t="s">
        <v>232</v>
      </c>
    </row>
    <row r="11" spans="1:8" x14ac:dyDescent="0.25">
      <c r="A11" s="185">
        <v>9</v>
      </c>
      <c r="B11" s="185"/>
      <c r="C11" s="185">
        <v>10</v>
      </c>
      <c r="D11" s="185"/>
      <c r="E11" s="50">
        <v>11</v>
      </c>
      <c r="F11" s="50">
        <v>12</v>
      </c>
      <c r="G11" s="50">
        <v>13</v>
      </c>
      <c r="H11" s="50">
        <v>14</v>
      </c>
    </row>
    <row r="12" spans="1:8" x14ac:dyDescent="0.25">
      <c r="A12" s="213">
        <v>3</v>
      </c>
      <c r="B12" s="213"/>
      <c r="C12" s="213">
        <v>0</v>
      </c>
      <c r="D12" s="213"/>
      <c r="E12" s="141">
        <v>0</v>
      </c>
      <c r="F12" s="141">
        <v>13</v>
      </c>
      <c r="G12" s="142">
        <v>923.7</v>
      </c>
      <c r="H12" s="142">
        <v>611.9</v>
      </c>
    </row>
    <row r="15" spans="1:8" ht="90" customHeight="1" x14ac:dyDescent="0.25">
      <c r="A15" s="239" t="s">
        <v>234</v>
      </c>
      <c r="B15" s="240"/>
      <c r="C15" s="239" t="s">
        <v>235</v>
      </c>
      <c r="D15" s="240"/>
      <c r="E15" s="131" t="s">
        <v>236</v>
      </c>
      <c r="F15" s="131" t="s">
        <v>384</v>
      </c>
      <c r="G15" s="247" t="s">
        <v>382</v>
      </c>
      <c r="H15" s="247"/>
    </row>
    <row r="16" spans="1:8" x14ac:dyDescent="0.25">
      <c r="A16" s="185">
        <v>15</v>
      </c>
      <c r="B16" s="185"/>
      <c r="C16" s="185">
        <v>16</v>
      </c>
      <c r="D16" s="185"/>
      <c r="E16" s="130">
        <v>17</v>
      </c>
      <c r="F16" s="130">
        <v>18</v>
      </c>
      <c r="G16" s="185">
        <v>19</v>
      </c>
      <c r="H16" s="185"/>
    </row>
    <row r="17" spans="1:8" x14ac:dyDescent="0.25">
      <c r="A17" s="213">
        <v>1</v>
      </c>
      <c r="B17" s="213"/>
      <c r="C17" s="213">
        <v>0</v>
      </c>
      <c r="D17" s="213"/>
      <c r="E17" s="141">
        <v>1</v>
      </c>
      <c r="F17" s="141">
        <v>0</v>
      </c>
      <c r="G17" s="213">
        <v>0</v>
      </c>
      <c r="H17" s="213"/>
    </row>
    <row r="20" spans="1:8" ht="90" customHeight="1" x14ac:dyDescent="0.25">
      <c r="A20" s="199" t="s">
        <v>385</v>
      </c>
      <c r="B20" s="199"/>
      <c r="C20" s="199" t="s">
        <v>237</v>
      </c>
      <c r="D20" s="199"/>
      <c r="E20" s="131" t="s">
        <v>238</v>
      </c>
      <c r="F20" s="135"/>
      <c r="G20" s="135"/>
      <c r="H20" s="135"/>
    </row>
    <row r="21" spans="1:8" x14ac:dyDescent="0.25">
      <c r="A21" s="185">
        <v>20</v>
      </c>
      <c r="B21" s="185"/>
      <c r="C21" s="185">
        <v>21</v>
      </c>
      <c r="D21" s="185"/>
      <c r="E21" s="130">
        <v>22</v>
      </c>
      <c r="F21" s="136"/>
      <c r="G21" s="136"/>
      <c r="H21" s="136"/>
    </row>
    <row r="22" spans="1:8" x14ac:dyDescent="0.25">
      <c r="A22" s="213">
        <v>0</v>
      </c>
      <c r="B22" s="213"/>
      <c r="C22" s="213">
        <v>0</v>
      </c>
      <c r="D22" s="213"/>
      <c r="E22" s="141">
        <v>14</v>
      </c>
      <c r="F22" s="136"/>
      <c r="G22" s="136"/>
      <c r="H22" s="136"/>
    </row>
    <row r="25" spans="1:8" x14ac:dyDescent="0.25">
      <c r="A25" s="175" t="s">
        <v>239</v>
      </c>
      <c r="B25" s="175"/>
      <c r="C25" s="175"/>
      <c r="D25" s="175"/>
      <c r="E25" s="175"/>
      <c r="F25" s="175"/>
      <c r="G25" s="175"/>
      <c r="H25" s="175"/>
    </row>
    <row r="26" spans="1:8" x14ac:dyDescent="0.25">
      <c r="A26" s="50" t="s">
        <v>147</v>
      </c>
      <c r="B26" s="245" t="s">
        <v>240</v>
      </c>
      <c r="C26" s="245"/>
      <c r="D26" s="245"/>
      <c r="E26" s="245"/>
      <c r="F26" s="245"/>
      <c r="G26" s="245"/>
      <c r="H26" s="245"/>
    </row>
    <row r="27" spans="1:8" x14ac:dyDescent="0.25">
      <c r="A27" s="47">
        <f>IF(1&lt;=A6,1,"")</f>
        <v>1</v>
      </c>
      <c r="B27" s="246" t="s">
        <v>388</v>
      </c>
      <c r="C27" s="246"/>
      <c r="D27" s="246"/>
      <c r="E27" s="246"/>
      <c r="F27" s="246"/>
      <c r="G27" s="246"/>
      <c r="H27" s="246"/>
    </row>
    <row r="28" spans="1:8" x14ac:dyDescent="0.25">
      <c r="A28" s="47">
        <f>IF(A27&lt;A6,2,"")</f>
        <v>2</v>
      </c>
      <c r="B28" s="246" t="s">
        <v>389</v>
      </c>
      <c r="C28" s="246"/>
      <c r="D28" s="246"/>
      <c r="E28" s="246"/>
      <c r="F28" s="246"/>
      <c r="G28" s="246"/>
      <c r="H28" s="246"/>
    </row>
    <row r="29" spans="1:8" x14ac:dyDescent="0.25">
      <c r="A29" s="47">
        <f>IF(A28&lt;A6,3,"")</f>
        <v>3</v>
      </c>
      <c r="B29" s="246" t="s">
        <v>390</v>
      </c>
      <c r="C29" s="246"/>
      <c r="D29" s="246"/>
      <c r="E29" s="246"/>
      <c r="F29" s="246"/>
      <c r="G29" s="246"/>
      <c r="H29" s="246"/>
    </row>
    <row r="30" spans="1:8" x14ac:dyDescent="0.25">
      <c r="A30" s="47" t="str">
        <f>IF(A29&lt;A6,4,"")</f>
        <v/>
      </c>
      <c r="B30" s="246"/>
      <c r="C30" s="246"/>
      <c r="D30" s="246"/>
      <c r="E30" s="246"/>
      <c r="F30" s="246"/>
      <c r="G30" s="246"/>
      <c r="H30" s="246"/>
    </row>
    <row r="31" spans="1:8" x14ac:dyDescent="0.25">
      <c r="A31" s="47" t="str">
        <f>IF(A30&lt;A6,5,"")</f>
        <v/>
      </c>
      <c r="B31" s="246"/>
      <c r="C31" s="246"/>
      <c r="D31" s="246"/>
      <c r="E31" s="246"/>
      <c r="F31" s="246"/>
      <c r="G31" s="246"/>
      <c r="H31" s="246"/>
    </row>
    <row r="32" spans="1:8" x14ac:dyDescent="0.25">
      <c r="A32" s="47" t="str">
        <f>IF(A31&lt;A6,6,"")</f>
        <v/>
      </c>
      <c r="B32" s="244"/>
      <c r="C32" s="244"/>
      <c r="D32" s="244"/>
      <c r="E32" s="244"/>
      <c r="F32" s="244"/>
      <c r="G32" s="244"/>
      <c r="H32" s="244"/>
    </row>
    <row r="33" spans="1:8" x14ac:dyDescent="0.25">
      <c r="A33" s="47" t="str">
        <f>IF(A32&lt;A6,7,"")</f>
        <v/>
      </c>
      <c r="B33" s="244"/>
      <c r="C33" s="244"/>
      <c r="D33" s="244"/>
      <c r="E33" s="244"/>
      <c r="F33" s="244"/>
      <c r="G33" s="244"/>
      <c r="H33" s="244"/>
    </row>
  </sheetData>
  <sheetProtection password="CC43" sheet="1" objects="1" scenarios="1" selectLockedCells="1"/>
  <mergeCells count="38">
    <mergeCell ref="C15:D15"/>
    <mergeCell ref="B28:H28"/>
    <mergeCell ref="B29:H29"/>
    <mergeCell ref="B30:H30"/>
    <mergeCell ref="B31:H31"/>
    <mergeCell ref="G15:H15"/>
    <mergeCell ref="G16:H16"/>
    <mergeCell ref="A16:B16"/>
    <mergeCell ref="C16:D16"/>
    <mergeCell ref="B33:H33"/>
    <mergeCell ref="C22:D22"/>
    <mergeCell ref="A22:B22"/>
    <mergeCell ref="A1:H1"/>
    <mergeCell ref="A25:H25"/>
    <mergeCell ref="B26:H26"/>
    <mergeCell ref="B27:H27"/>
    <mergeCell ref="G17:H17"/>
    <mergeCell ref="C17:D17"/>
    <mergeCell ref="A17:B17"/>
    <mergeCell ref="A20:B20"/>
    <mergeCell ref="C20:D20"/>
    <mergeCell ref="C21:D21"/>
    <mergeCell ref="A21:B21"/>
    <mergeCell ref="A15:B15"/>
    <mergeCell ref="B32:H32"/>
    <mergeCell ref="G3:H3"/>
    <mergeCell ref="G9:H9"/>
    <mergeCell ref="F9:F10"/>
    <mergeCell ref="A9:E9"/>
    <mergeCell ref="C10:D10"/>
    <mergeCell ref="A10:B10"/>
    <mergeCell ref="A11:B11"/>
    <mergeCell ref="C11:D11"/>
    <mergeCell ref="A12:B12"/>
    <mergeCell ref="B3:D3"/>
    <mergeCell ref="E3:F3"/>
    <mergeCell ref="A3:A4"/>
    <mergeCell ref="C12:D12"/>
  </mergeCells>
  <conditionalFormatting sqref="A27:A33">
    <cfRule type="cellIs" dxfId="15" priority="2" operator="between">
      <formula>0</formula>
      <formula>$A$6</formula>
    </cfRule>
  </conditionalFormatting>
  <conditionalFormatting sqref="B27:H33">
    <cfRule type="cellIs" dxfId="14" priority="1" operator="greaterThan">
      <formula>0</formula>
    </cfRule>
  </conditionalFormatting>
  <dataValidations count="5">
    <dataValidation type="whole" allowBlank="1" showInputMessage="1" showErrorMessage="1" sqref="F12 C22:G22">
      <formula1>0</formula1>
      <formula2>100</formula2>
    </dataValidation>
    <dataValidation type="whole" allowBlank="1" showInputMessage="1" showErrorMessage="1" sqref="A17:F17 A22:B22">
      <formula1>0</formula1>
      <formula2>1</formula2>
    </dataValidation>
    <dataValidation type="whole" allowBlank="1" showInputMessage="1" showErrorMessage="1" sqref="A6:F6 A12:E12">
      <formula1>0</formula1>
      <formula2>10</formula2>
    </dataValidation>
    <dataValidation type="whole" allowBlank="1" showInputMessage="1" showErrorMessage="1" sqref="G6:H6">
      <formula1>0</formula1>
      <formula2>5</formula2>
    </dataValidation>
    <dataValidation type="decimal" allowBlank="1" showInputMessage="1" showErrorMessage="1" sqref="G12:H12">
      <formula1>0</formula1>
      <formula2>10000</formula2>
    </dataValidation>
  </dataValidations>
  <pageMargins left="0.7" right="0.7" top="0.75" bottom="0.75" header="0.3" footer="0.3"/>
  <pageSetup paperSize="9" orientation="portrait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8"/>
  <sheetViews>
    <sheetView showWhiteSpace="0" view="pageLayout" topLeftCell="A19" workbookViewId="0">
      <selection activeCell="L49" sqref="L49"/>
    </sheetView>
  </sheetViews>
  <sheetFormatPr defaultRowHeight="15" x14ac:dyDescent="0.25"/>
  <cols>
    <col min="1" max="1" width="30" style="1" customWidth="1"/>
    <col min="2" max="2" width="6.28515625" style="1" customWidth="1"/>
    <col min="3" max="3" width="12.85546875" style="1" customWidth="1"/>
    <col min="4" max="4" width="10" style="1" customWidth="1"/>
    <col min="5" max="5" width="6.42578125" style="1" customWidth="1"/>
    <col min="6" max="6" width="7.140625" style="1" customWidth="1"/>
    <col min="7" max="7" width="6.42578125" style="1" customWidth="1"/>
    <col min="8" max="8" width="7.140625" style="1" customWidth="1"/>
    <col min="9" max="9" width="8.5703125" style="1" customWidth="1"/>
    <col min="10" max="10" width="6.42578125" style="1" customWidth="1"/>
    <col min="11" max="11" width="7.140625" style="1" customWidth="1"/>
    <col min="12" max="12" width="6.42578125" style="1" customWidth="1"/>
    <col min="13" max="13" width="7.140625" style="1" customWidth="1"/>
    <col min="14" max="14" width="8.5703125" style="1" customWidth="1"/>
    <col min="15" max="16384" width="9.140625" style="1"/>
  </cols>
  <sheetData>
    <row r="1" spans="1:15" ht="15" customHeight="1" x14ac:dyDescent="0.25">
      <c r="A1" s="179" t="s">
        <v>305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"/>
    </row>
    <row r="3" spans="1:15" ht="15" customHeight="1" x14ac:dyDescent="0.25">
      <c r="A3" s="169" t="s">
        <v>1</v>
      </c>
      <c r="B3" s="169" t="s">
        <v>2</v>
      </c>
      <c r="C3" s="169" t="s">
        <v>300</v>
      </c>
      <c r="D3" s="169" t="s">
        <v>299</v>
      </c>
      <c r="E3" s="180" t="s">
        <v>139</v>
      </c>
      <c r="F3" s="181"/>
      <c r="G3" s="181"/>
      <c r="H3" s="181"/>
      <c r="I3" s="182"/>
      <c r="J3" s="180" t="s">
        <v>57</v>
      </c>
      <c r="K3" s="181"/>
      <c r="L3" s="181"/>
      <c r="M3" s="181"/>
      <c r="N3" s="182"/>
    </row>
    <row r="4" spans="1:15" ht="25.5" customHeight="1" x14ac:dyDescent="0.25">
      <c r="A4" s="169"/>
      <c r="B4" s="169"/>
      <c r="C4" s="169"/>
      <c r="D4" s="169"/>
      <c r="E4" s="169" t="s">
        <v>93</v>
      </c>
      <c r="F4" s="169"/>
      <c r="G4" s="169" t="s">
        <v>301</v>
      </c>
      <c r="H4" s="169"/>
      <c r="I4" s="169"/>
      <c r="J4" s="169" t="s">
        <v>93</v>
      </c>
      <c r="K4" s="169"/>
      <c r="L4" s="169" t="s">
        <v>381</v>
      </c>
      <c r="M4" s="169"/>
      <c r="N4" s="169"/>
    </row>
    <row r="5" spans="1:15" ht="76.5" x14ac:dyDescent="0.25">
      <c r="A5" s="169"/>
      <c r="B5" s="169"/>
      <c r="C5" s="169"/>
      <c r="D5" s="169"/>
      <c r="E5" s="82" t="s">
        <v>161</v>
      </c>
      <c r="F5" s="94" t="s">
        <v>292</v>
      </c>
      <c r="G5" s="94" t="s">
        <v>161</v>
      </c>
      <c r="H5" s="82" t="s">
        <v>297</v>
      </c>
      <c r="I5" s="82" t="s">
        <v>302</v>
      </c>
      <c r="J5" s="82" t="s">
        <v>161</v>
      </c>
      <c r="K5" s="94" t="s">
        <v>292</v>
      </c>
      <c r="L5" s="94" t="s">
        <v>161</v>
      </c>
      <c r="M5" s="82" t="s">
        <v>303</v>
      </c>
      <c r="N5" s="82" t="s">
        <v>304</v>
      </c>
    </row>
    <row r="6" spans="1:15" x14ac:dyDescent="0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  <c r="N6" s="84">
        <v>14</v>
      </c>
    </row>
    <row r="7" spans="1:15" x14ac:dyDescent="0.25">
      <c r="A7" s="85" t="s">
        <v>3</v>
      </c>
      <c r="B7" s="86" t="s">
        <v>21</v>
      </c>
      <c r="C7" s="74">
        <f t="shared" ref="C7:C15" si="0">E7+J7</f>
        <v>62</v>
      </c>
      <c r="D7" s="61">
        <v>0</v>
      </c>
      <c r="E7" s="61">
        <v>42</v>
      </c>
      <c r="F7" s="61">
        <v>42</v>
      </c>
      <c r="G7" s="61">
        <v>0</v>
      </c>
      <c r="H7" s="61">
        <v>0</v>
      </c>
      <c r="I7" s="61">
        <v>0</v>
      </c>
      <c r="J7" s="61">
        <v>20</v>
      </c>
      <c r="K7" s="61">
        <v>20</v>
      </c>
      <c r="L7" s="61">
        <v>6</v>
      </c>
      <c r="M7" s="61">
        <v>6</v>
      </c>
      <c r="N7" s="61">
        <v>0</v>
      </c>
    </row>
    <row r="8" spans="1:15" x14ac:dyDescent="0.25">
      <c r="A8" s="172" t="s">
        <v>4</v>
      </c>
      <c r="B8" s="173"/>
      <c r="C8" s="74">
        <f>C9+C10+C11+C12+C13+C14+C15</f>
        <v>66</v>
      </c>
      <c r="D8" s="74">
        <f t="shared" ref="D8:N8" si="1">D9+D10+D11+D12+D13+D14+D15</f>
        <v>0</v>
      </c>
      <c r="E8" s="74">
        <f t="shared" si="1"/>
        <v>40</v>
      </c>
      <c r="F8" s="74">
        <f t="shared" si="1"/>
        <v>40</v>
      </c>
      <c r="G8" s="74">
        <f t="shared" si="1"/>
        <v>0</v>
      </c>
      <c r="H8" s="74">
        <f t="shared" si="1"/>
        <v>0</v>
      </c>
      <c r="I8" s="74">
        <f t="shared" si="1"/>
        <v>0</v>
      </c>
      <c r="J8" s="74">
        <f t="shared" si="1"/>
        <v>26</v>
      </c>
      <c r="K8" s="74">
        <f t="shared" si="1"/>
        <v>26</v>
      </c>
      <c r="L8" s="74">
        <f t="shared" si="1"/>
        <v>6</v>
      </c>
      <c r="M8" s="74">
        <f t="shared" si="1"/>
        <v>6</v>
      </c>
      <c r="N8" s="74">
        <f t="shared" si="1"/>
        <v>0</v>
      </c>
    </row>
    <row r="9" spans="1:15" x14ac:dyDescent="0.25">
      <c r="A9" s="88" t="s">
        <v>64</v>
      </c>
      <c r="B9" s="86" t="s">
        <v>20</v>
      </c>
      <c r="C9" s="74">
        <f t="shared" si="0"/>
        <v>28</v>
      </c>
      <c r="D9" s="61">
        <v>0</v>
      </c>
      <c r="E9" s="61">
        <v>15</v>
      </c>
      <c r="F9" s="61">
        <v>15</v>
      </c>
      <c r="G9" s="61">
        <v>0</v>
      </c>
      <c r="H9" s="61">
        <v>0</v>
      </c>
      <c r="I9" s="61">
        <v>0</v>
      </c>
      <c r="J9" s="61">
        <v>13</v>
      </c>
      <c r="K9" s="61">
        <v>13</v>
      </c>
      <c r="L9" s="61">
        <v>3</v>
      </c>
      <c r="M9" s="61">
        <v>3</v>
      </c>
      <c r="N9" s="61">
        <v>0</v>
      </c>
    </row>
    <row r="10" spans="1:15" x14ac:dyDescent="0.25">
      <c r="A10" s="88" t="s">
        <v>65</v>
      </c>
      <c r="B10" s="86" t="s">
        <v>22</v>
      </c>
      <c r="C10" s="74">
        <f t="shared" si="0"/>
        <v>2</v>
      </c>
      <c r="D10" s="61">
        <v>0</v>
      </c>
      <c r="E10" s="61">
        <v>2</v>
      </c>
      <c r="F10" s="61">
        <v>2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</row>
    <row r="11" spans="1:15" x14ac:dyDescent="0.25">
      <c r="A11" s="88" t="s">
        <v>66</v>
      </c>
      <c r="B11" s="86" t="s">
        <v>23</v>
      </c>
      <c r="C11" s="74">
        <f t="shared" si="0"/>
        <v>20</v>
      </c>
      <c r="D11" s="61">
        <v>0</v>
      </c>
      <c r="E11" s="61">
        <v>15</v>
      </c>
      <c r="F11" s="61">
        <v>15</v>
      </c>
      <c r="G11" s="61">
        <v>0</v>
      </c>
      <c r="H11" s="61">
        <v>0</v>
      </c>
      <c r="I11" s="61">
        <v>0</v>
      </c>
      <c r="J11" s="61">
        <v>5</v>
      </c>
      <c r="K11" s="61">
        <v>5</v>
      </c>
      <c r="L11" s="61">
        <v>2</v>
      </c>
      <c r="M11" s="61">
        <v>2</v>
      </c>
      <c r="N11" s="61">
        <v>0</v>
      </c>
    </row>
    <row r="12" spans="1:15" x14ac:dyDescent="0.25">
      <c r="A12" s="88" t="s">
        <v>67</v>
      </c>
      <c r="B12" s="86" t="s">
        <v>24</v>
      </c>
      <c r="C12" s="74">
        <f t="shared" si="0"/>
        <v>4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4</v>
      </c>
      <c r="K12" s="61">
        <v>4</v>
      </c>
      <c r="L12" s="61">
        <v>0</v>
      </c>
      <c r="M12" s="61">
        <v>0</v>
      </c>
      <c r="N12" s="61">
        <v>0</v>
      </c>
    </row>
    <row r="13" spans="1:15" x14ac:dyDescent="0.25">
      <c r="A13" s="88" t="s">
        <v>68</v>
      </c>
      <c r="B13" s="86" t="s">
        <v>25</v>
      </c>
      <c r="C13" s="74">
        <f t="shared" si="0"/>
        <v>12</v>
      </c>
      <c r="D13" s="61">
        <v>0</v>
      </c>
      <c r="E13" s="61">
        <v>8</v>
      </c>
      <c r="F13" s="61">
        <v>8</v>
      </c>
      <c r="G13" s="61">
        <v>0</v>
      </c>
      <c r="H13" s="61">
        <v>0</v>
      </c>
      <c r="I13" s="61">
        <v>0</v>
      </c>
      <c r="J13" s="61">
        <v>4</v>
      </c>
      <c r="K13" s="61">
        <v>4</v>
      </c>
      <c r="L13" s="61">
        <v>1</v>
      </c>
      <c r="M13" s="61">
        <v>1</v>
      </c>
      <c r="N13" s="61">
        <v>0</v>
      </c>
    </row>
    <row r="14" spans="1:15" x14ac:dyDescent="0.25">
      <c r="A14" s="88" t="s">
        <v>69</v>
      </c>
      <c r="B14" s="86" t="s">
        <v>26</v>
      </c>
      <c r="C14" s="74">
        <f t="shared" si="0"/>
        <v>0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5" x14ac:dyDescent="0.25">
      <c r="A15" s="88" t="s">
        <v>70</v>
      </c>
      <c r="B15" s="86" t="s">
        <v>27</v>
      </c>
      <c r="C15" s="74">
        <f t="shared" si="0"/>
        <v>0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5" x14ac:dyDescent="0.25">
      <c r="A16" s="172" t="s">
        <v>5</v>
      </c>
      <c r="B16" s="173"/>
      <c r="C16" s="74">
        <f>C17+C18+C19+C20+C21+C22+C23+C24+C25+C26</f>
        <v>7</v>
      </c>
      <c r="D16" s="74">
        <f t="shared" ref="D16:N16" si="2">D17+D18+D19+D20+D21+D22+D23+D24+D25+D26</f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7</v>
      </c>
      <c r="K16" s="74">
        <f t="shared" si="2"/>
        <v>7</v>
      </c>
      <c r="L16" s="74">
        <f t="shared" si="2"/>
        <v>0</v>
      </c>
      <c r="M16" s="74">
        <f t="shared" si="2"/>
        <v>0</v>
      </c>
      <c r="N16" s="74">
        <f t="shared" si="2"/>
        <v>0</v>
      </c>
    </row>
    <row r="17" spans="1:14" x14ac:dyDescent="0.25">
      <c r="A17" s="88" t="s">
        <v>71</v>
      </c>
      <c r="B17" s="86" t="s">
        <v>28</v>
      </c>
      <c r="C17" s="74">
        <f t="shared" ref="C17:C26" si="3">E17+J17</f>
        <v>0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x14ac:dyDescent="0.25">
      <c r="A18" s="88" t="s">
        <v>72</v>
      </c>
      <c r="B18" s="86" t="s">
        <v>29</v>
      </c>
      <c r="C18" s="74">
        <f t="shared" si="3"/>
        <v>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 x14ac:dyDescent="0.25">
      <c r="A19" s="88" t="s">
        <v>73</v>
      </c>
      <c r="B19" s="86" t="s">
        <v>30</v>
      </c>
      <c r="C19" s="74">
        <f t="shared" si="3"/>
        <v>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x14ac:dyDescent="0.25">
      <c r="A20" s="88" t="s">
        <v>74</v>
      </c>
      <c r="B20" s="86" t="s">
        <v>31</v>
      </c>
      <c r="C20" s="74">
        <f t="shared" si="3"/>
        <v>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x14ac:dyDescent="0.25">
      <c r="A21" s="88" t="s">
        <v>75</v>
      </c>
      <c r="B21" s="86" t="s">
        <v>32</v>
      </c>
      <c r="C21" s="74">
        <f t="shared" si="3"/>
        <v>0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x14ac:dyDescent="0.25">
      <c r="A22" s="88" t="s">
        <v>76</v>
      </c>
      <c r="B22" s="86" t="s">
        <v>33</v>
      </c>
      <c r="C22" s="74">
        <f t="shared" si="3"/>
        <v>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x14ac:dyDescent="0.25">
      <c r="A23" s="88" t="s">
        <v>77</v>
      </c>
      <c r="B23" s="86" t="s">
        <v>34</v>
      </c>
      <c r="C23" s="74">
        <f t="shared" si="3"/>
        <v>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x14ac:dyDescent="0.25">
      <c r="A24" s="88" t="s">
        <v>78</v>
      </c>
      <c r="B24" s="86" t="s">
        <v>35</v>
      </c>
      <c r="C24" s="74">
        <f t="shared" si="3"/>
        <v>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x14ac:dyDescent="0.25">
      <c r="A25" s="88" t="s">
        <v>79</v>
      </c>
      <c r="B25" s="86" t="s">
        <v>36</v>
      </c>
      <c r="C25" s="74">
        <f t="shared" si="3"/>
        <v>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x14ac:dyDescent="0.25">
      <c r="A26" s="88" t="s">
        <v>80</v>
      </c>
      <c r="B26" s="86" t="s">
        <v>37</v>
      </c>
      <c r="C26" s="74">
        <f t="shared" si="3"/>
        <v>7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7</v>
      </c>
      <c r="K26" s="61">
        <v>7</v>
      </c>
      <c r="L26" s="61">
        <v>0</v>
      </c>
      <c r="M26" s="61">
        <v>0</v>
      </c>
      <c r="N26" s="61">
        <v>0</v>
      </c>
    </row>
    <row r="27" spans="1:14" x14ac:dyDescent="0.25">
      <c r="A27" s="172" t="s">
        <v>6</v>
      </c>
      <c r="B27" s="173"/>
      <c r="C27" s="74">
        <f>C28+C29+C30+C31</f>
        <v>6</v>
      </c>
      <c r="D27" s="74">
        <f t="shared" ref="D27:N27" si="4">D28+D29+D30+D31</f>
        <v>0</v>
      </c>
      <c r="E27" s="74">
        <f t="shared" si="4"/>
        <v>6</v>
      </c>
      <c r="F27" s="74">
        <f t="shared" si="4"/>
        <v>6</v>
      </c>
      <c r="G27" s="74">
        <f t="shared" si="4"/>
        <v>0</v>
      </c>
      <c r="H27" s="74">
        <f t="shared" si="4"/>
        <v>0</v>
      </c>
      <c r="I27" s="74">
        <f t="shared" si="4"/>
        <v>0</v>
      </c>
      <c r="J27" s="74">
        <f t="shared" si="4"/>
        <v>0</v>
      </c>
      <c r="K27" s="74">
        <f t="shared" si="4"/>
        <v>0</v>
      </c>
      <c r="L27" s="74">
        <f t="shared" si="4"/>
        <v>0</v>
      </c>
      <c r="M27" s="74">
        <f t="shared" si="4"/>
        <v>0</v>
      </c>
      <c r="N27" s="74">
        <f t="shared" si="4"/>
        <v>0</v>
      </c>
    </row>
    <row r="28" spans="1:14" x14ac:dyDescent="0.25">
      <c r="A28" s="88" t="s">
        <v>81</v>
      </c>
      <c r="B28" s="86" t="s">
        <v>38</v>
      </c>
      <c r="C28" s="74">
        <f t="shared" ref="C28:C31" si="5">E28+J28</f>
        <v>6</v>
      </c>
      <c r="D28" s="61">
        <v>0</v>
      </c>
      <c r="E28" s="61">
        <v>6</v>
      </c>
      <c r="F28" s="61">
        <v>6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</row>
    <row r="29" spans="1:14" x14ac:dyDescent="0.25">
      <c r="A29" s="88" t="s">
        <v>82</v>
      </c>
      <c r="B29" s="86" t="s">
        <v>39</v>
      </c>
      <c r="C29" s="74">
        <f t="shared" si="5"/>
        <v>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 x14ac:dyDescent="0.25">
      <c r="A30" s="88" t="s">
        <v>83</v>
      </c>
      <c r="B30" s="86" t="s">
        <v>40</v>
      </c>
      <c r="C30" s="74">
        <f t="shared" si="5"/>
        <v>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4" x14ac:dyDescent="0.25">
      <c r="A31" s="88" t="s">
        <v>84</v>
      </c>
      <c r="B31" s="86" t="s">
        <v>41</v>
      </c>
      <c r="C31" s="74">
        <f t="shared" si="5"/>
        <v>0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x14ac:dyDescent="0.25">
      <c r="A32" s="172" t="s">
        <v>7</v>
      </c>
      <c r="B32" s="173"/>
      <c r="C32" s="74">
        <f>C33+C34</f>
        <v>8</v>
      </c>
      <c r="D32" s="74">
        <f>D33+D34</f>
        <v>0</v>
      </c>
      <c r="E32" s="74" t="s">
        <v>90</v>
      </c>
      <c r="F32" s="74" t="s">
        <v>90</v>
      </c>
      <c r="G32" s="74" t="s">
        <v>90</v>
      </c>
      <c r="H32" s="74" t="s">
        <v>90</v>
      </c>
      <c r="I32" s="74" t="s">
        <v>90</v>
      </c>
      <c r="J32" s="74">
        <f t="shared" ref="J32:N32" si="6">J33+J34</f>
        <v>8</v>
      </c>
      <c r="K32" s="74">
        <f t="shared" si="6"/>
        <v>8</v>
      </c>
      <c r="L32" s="74">
        <f t="shared" si="6"/>
        <v>1</v>
      </c>
      <c r="M32" s="74">
        <f t="shared" si="6"/>
        <v>1</v>
      </c>
      <c r="N32" s="74">
        <f t="shared" si="6"/>
        <v>0</v>
      </c>
    </row>
    <row r="33" spans="1:14" x14ac:dyDescent="0.25">
      <c r="A33" s="88" t="s">
        <v>85</v>
      </c>
      <c r="B33" s="86" t="s">
        <v>42</v>
      </c>
      <c r="C33" s="87">
        <f>J33</f>
        <v>8</v>
      </c>
      <c r="D33" s="60">
        <v>0</v>
      </c>
      <c r="E33" s="74" t="s">
        <v>90</v>
      </c>
      <c r="F33" s="74" t="s">
        <v>90</v>
      </c>
      <c r="G33" s="87" t="s">
        <v>90</v>
      </c>
      <c r="H33" s="87" t="s">
        <v>90</v>
      </c>
      <c r="I33" s="87" t="s">
        <v>90</v>
      </c>
      <c r="J33" s="61">
        <v>8</v>
      </c>
      <c r="K33" s="61">
        <v>8</v>
      </c>
      <c r="L33" s="61">
        <v>1</v>
      </c>
      <c r="M33" s="61">
        <v>1</v>
      </c>
      <c r="N33" s="61">
        <v>0</v>
      </c>
    </row>
    <row r="34" spans="1:14" x14ac:dyDescent="0.25">
      <c r="A34" s="88" t="s">
        <v>86</v>
      </c>
      <c r="B34" s="86" t="s">
        <v>43</v>
      </c>
      <c r="C34" s="87">
        <f>J34</f>
        <v>0</v>
      </c>
      <c r="D34" s="60"/>
      <c r="E34" s="74" t="s">
        <v>90</v>
      </c>
      <c r="F34" s="74" t="s">
        <v>90</v>
      </c>
      <c r="G34" s="87" t="s">
        <v>90</v>
      </c>
      <c r="H34" s="87" t="s">
        <v>90</v>
      </c>
      <c r="I34" s="87" t="s">
        <v>90</v>
      </c>
      <c r="J34" s="61"/>
      <c r="K34" s="61"/>
      <c r="L34" s="61"/>
      <c r="M34" s="61"/>
      <c r="N34" s="61"/>
    </row>
    <row r="35" spans="1:14" x14ac:dyDescent="0.25">
      <c r="A35" s="85" t="s">
        <v>8</v>
      </c>
      <c r="B35" s="86" t="s">
        <v>44</v>
      </c>
      <c r="C35" s="74">
        <f t="shared" ref="C35:C42" si="7">E35+J35</f>
        <v>0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x14ac:dyDescent="0.25">
      <c r="A36" s="85" t="s">
        <v>9</v>
      </c>
      <c r="B36" s="86" t="s">
        <v>45</v>
      </c>
      <c r="C36" s="74">
        <f t="shared" si="7"/>
        <v>94</v>
      </c>
      <c r="D36" s="61">
        <v>0</v>
      </c>
      <c r="E36" s="61">
        <v>71</v>
      </c>
      <c r="F36" s="61">
        <v>71</v>
      </c>
      <c r="G36" s="61">
        <v>0</v>
      </c>
      <c r="H36" s="61">
        <v>0</v>
      </c>
      <c r="I36" s="61">
        <v>0</v>
      </c>
      <c r="J36" s="61">
        <v>23</v>
      </c>
      <c r="K36" s="61">
        <v>23</v>
      </c>
      <c r="L36" s="61">
        <v>6</v>
      </c>
      <c r="M36" s="61">
        <v>6</v>
      </c>
      <c r="N36" s="61">
        <v>0</v>
      </c>
    </row>
    <row r="37" spans="1:14" x14ac:dyDescent="0.25">
      <c r="A37" s="85" t="s">
        <v>10</v>
      </c>
      <c r="B37" s="86" t="s">
        <v>46</v>
      </c>
      <c r="C37" s="74">
        <f t="shared" si="7"/>
        <v>0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x14ac:dyDescent="0.25">
      <c r="A38" s="85" t="s">
        <v>11</v>
      </c>
      <c r="B38" s="86" t="s">
        <v>47</v>
      </c>
      <c r="C38" s="74">
        <f t="shared" si="7"/>
        <v>20</v>
      </c>
      <c r="D38" s="61">
        <v>0</v>
      </c>
      <c r="E38" s="61">
        <v>20</v>
      </c>
      <c r="F38" s="61">
        <v>20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</row>
    <row r="39" spans="1:14" x14ac:dyDescent="0.25">
      <c r="A39" s="85" t="s">
        <v>278</v>
      </c>
      <c r="B39" s="86" t="s">
        <v>48</v>
      </c>
      <c r="C39" s="74">
        <f t="shared" si="7"/>
        <v>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x14ac:dyDescent="0.25">
      <c r="A40" s="85" t="s">
        <v>12</v>
      </c>
      <c r="B40" s="86" t="s">
        <v>49</v>
      </c>
      <c r="C40" s="74">
        <f t="shared" si="7"/>
        <v>0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1:14" x14ac:dyDescent="0.25">
      <c r="A41" s="85" t="s">
        <v>13</v>
      </c>
      <c r="B41" s="86" t="s">
        <v>50</v>
      </c>
      <c r="C41" s="74">
        <f t="shared" si="7"/>
        <v>0</v>
      </c>
      <c r="D41" s="61"/>
      <c r="E41" s="61"/>
      <c r="F41" s="61"/>
      <c r="G41" s="111"/>
      <c r="H41" s="61"/>
      <c r="I41" s="61"/>
      <c r="J41" s="111"/>
      <c r="K41" s="61"/>
      <c r="L41" s="111"/>
      <c r="M41" s="61"/>
      <c r="N41" s="61"/>
    </row>
    <row r="42" spans="1:14" x14ac:dyDescent="0.25">
      <c r="A42" s="85" t="s">
        <v>14</v>
      </c>
      <c r="B42" s="86" t="s">
        <v>51</v>
      </c>
      <c r="C42" s="74">
        <f t="shared" si="7"/>
        <v>0</v>
      </c>
      <c r="D42" s="61"/>
      <c r="E42" s="61"/>
      <c r="F42" s="61"/>
      <c r="G42" s="111"/>
      <c r="H42" s="61"/>
      <c r="I42" s="61"/>
      <c r="J42" s="111"/>
      <c r="K42" s="61"/>
      <c r="L42" s="111"/>
      <c r="M42" s="61"/>
      <c r="N42" s="61"/>
    </row>
    <row r="43" spans="1:14" x14ac:dyDescent="0.25">
      <c r="A43" s="85" t="s">
        <v>15</v>
      </c>
      <c r="B43" s="86" t="s">
        <v>52</v>
      </c>
      <c r="C43" s="87">
        <f>J43</f>
        <v>0</v>
      </c>
      <c r="D43" s="60"/>
      <c r="E43" s="74" t="s">
        <v>90</v>
      </c>
      <c r="F43" s="74" t="s">
        <v>90</v>
      </c>
      <c r="G43" s="89" t="s">
        <v>90</v>
      </c>
      <c r="H43" s="89" t="s">
        <v>90</v>
      </c>
      <c r="I43" s="89" t="s">
        <v>90</v>
      </c>
      <c r="J43" s="111"/>
      <c r="K43" s="61"/>
      <c r="L43" s="111"/>
      <c r="M43" s="61"/>
      <c r="N43" s="61"/>
    </row>
    <row r="44" spans="1:14" x14ac:dyDescent="0.25">
      <c r="A44" s="85" t="s">
        <v>16</v>
      </c>
      <c r="B44" s="86" t="s">
        <v>53</v>
      </c>
      <c r="C44" s="87">
        <f>J44</f>
        <v>10</v>
      </c>
      <c r="D44" s="60">
        <v>0</v>
      </c>
      <c r="E44" s="74" t="s">
        <v>90</v>
      </c>
      <c r="F44" s="74" t="s">
        <v>90</v>
      </c>
      <c r="G44" s="89" t="s">
        <v>90</v>
      </c>
      <c r="H44" s="89" t="s">
        <v>90</v>
      </c>
      <c r="I44" s="89" t="s">
        <v>90</v>
      </c>
      <c r="J44" s="111">
        <v>10</v>
      </c>
      <c r="K44" s="61">
        <v>10</v>
      </c>
      <c r="L44" s="111">
        <v>0</v>
      </c>
      <c r="M44" s="61">
        <v>0</v>
      </c>
      <c r="N44" s="61">
        <v>0</v>
      </c>
    </row>
    <row r="45" spans="1:14" x14ac:dyDescent="0.25">
      <c r="A45" s="85" t="s">
        <v>17</v>
      </c>
      <c r="B45" s="86" t="s">
        <v>54</v>
      </c>
      <c r="C45" s="87">
        <f>J45</f>
        <v>0</v>
      </c>
      <c r="D45" s="60"/>
      <c r="E45" s="74" t="s">
        <v>90</v>
      </c>
      <c r="F45" s="74" t="s">
        <v>90</v>
      </c>
      <c r="G45" s="89" t="s">
        <v>90</v>
      </c>
      <c r="H45" s="89" t="s">
        <v>90</v>
      </c>
      <c r="I45" s="89" t="s">
        <v>90</v>
      </c>
      <c r="J45" s="111"/>
      <c r="K45" s="61"/>
      <c r="L45" s="111"/>
      <c r="M45" s="61"/>
      <c r="N45" s="61"/>
    </row>
    <row r="46" spans="1:14" x14ac:dyDescent="0.25">
      <c r="A46" s="85" t="s">
        <v>18</v>
      </c>
      <c r="B46" s="86" t="s">
        <v>55</v>
      </c>
      <c r="C46" s="87">
        <f>J46</f>
        <v>0</v>
      </c>
      <c r="D46" s="60"/>
      <c r="E46" s="74" t="s">
        <v>90</v>
      </c>
      <c r="F46" s="74" t="s">
        <v>90</v>
      </c>
      <c r="G46" s="89" t="s">
        <v>90</v>
      </c>
      <c r="H46" s="89" t="s">
        <v>90</v>
      </c>
      <c r="I46" s="89" t="s">
        <v>90</v>
      </c>
      <c r="J46" s="111"/>
      <c r="K46" s="61"/>
      <c r="L46" s="111"/>
      <c r="M46" s="61"/>
      <c r="N46" s="61"/>
    </row>
    <row r="47" spans="1:14" x14ac:dyDescent="0.25">
      <c r="A47" s="172" t="s">
        <v>58</v>
      </c>
      <c r="B47" s="173"/>
      <c r="C47" s="87">
        <f>J47</f>
        <v>24</v>
      </c>
      <c r="D47" s="74">
        <f>D48+D49+D50</f>
        <v>0</v>
      </c>
      <c r="E47" s="74" t="s">
        <v>90</v>
      </c>
      <c r="F47" s="74" t="s">
        <v>90</v>
      </c>
      <c r="G47" s="89" t="s">
        <v>90</v>
      </c>
      <c r="H47" s="89" t="s">
        <v>90</v>
      </c>
      <c r="I47" s="89" t="s">
        <v>90</v>
      </c>
      <c r="J47" s="89">
        <f>J48+J49+J50</f>
        <v>24</v>
      </c>
      <c r="K47" s="89">
        <f>K48+K49+K50</f>
        <v>12</v>
      </c>
      <c r="L47" s="87">
        <f>L48+L49+L50</f>
        <v>12</v>
      </c>
      <c r="M47" s="89">
        <f>M48+M49+M50</f>
        <v>0</v>
      </c>
      <c r="N47" s="87">
        <f>N48+N49+N50</f>
        <v>0</v>
      </c>
    </row>
    <row r="48" spans="1:14" x14ac:dyDescent="0.25">
      <c r="A48" s="88" t="s">
        <v>325</v>
      </c>
      <c r="B48" s="86" t="s">
        <v>56</v>
      </c>
      <c r="C48" s="87">
        <f t="shared" ref="C48:C50" si="8">J48</f>
        <v>0</v>
      </c>
      <c r="D48" s="60">
        <v>0</v>
      </c>
      <c r="E48" s="74" t="s">
        <v>90</v>
      </c>
      <c r="F48" s="74" t="s">
        <v>90</v>
      </c>
      <c r="G48" s="89" t="s">
        <v>90</v>
      </c>
      <c r="H48" s="89" t="s">
        <v>90</v>
      </c>
      <c r="I48" s="89" t="s">
        <v>90</v>
      </c>
      <c r="J48" s="111">
        <v>0</v>
      </c>
      <c r="K48" s="61">
        <v>0</v>
      </c>
      <c r="L48" s="61">
        <v>0</v>
      </c>
      <c r="M48" s="61">
        <v>0</v>
      </c>
      <c r="N48" s="61">
        <v>0</v>
      </c>
    </row>
    <row r="49" spans="1:14" x14ac:dyDescent="0.25">
      <c r="A49" s="88" t="s">
        <v>326</v>
      </c>
      <c r="B49" s="86" t="s">
        <v>327</v>
      </c>
      <c r="C49" s="87">
        <f t="shared" si="8"/>
        <v>0</v>
      </c>
      <c r="D49" s="60"/>
      <c r="E49" s="74" t="s">
        <v>90</v>
      </c>
      <c r="F49" s="74" t="s">
        <v>90</v>
      </c>
      <c r="G49" s="89" t="s">
        <v>90</v>
      </c>
      <c r="H49" s="89" t="s">
        <v>90</v>
      </c>
      <c r="I49" s="89" t="s">
        <v>90</v>
      </c>
      <c r="J49" s="111">
        <v>0</v>
      </c>
      <c r="K49" s="61">
        <v>0</v>
      </c>
      <c r="L49" s="61">
        <v>0</v>
      </c>
      <c r="M49" s="61">
        <v>0</v>
      </c>
      <c r="N49" s="61">
        <v>0</v>
      </c>
    </row>
    <row r="50" spans="1:14" x14ac:dyDescent="0.25">
      <c r="A50" s="88" t="s">
        <v>86</v>
      </c>
      <c r="B50" s="86" t="s">
        <v>328</v>
      </c>
      <c r="C50" s="87">
        <f t="shared" si="8"/>
        <v>24</v>
      </c>
      <c r="D50" s="60"/>
      <c r="E50" s="74" t="s">
        <v>90</v>
      </c>
      <c r="F50" s="74" t="s">
        <v>90</v>
      </c>
      <c r="G50" s="89" t="s">
        <v>90</v>
      </c>
      <c r="H50" s="89" t="s">
        <v>90</v>
      </c>
      <c r="I50" s="89" t="s">
        <v>90</v>
      </c>
      <c r="J50" s="111">
        <v>24</v>
      </c>
      <c r="K50" s="61">
        <v>12</v>
      </c>
      <c r="L50" s="61">
        <v>12</v>
      </c>
      <c r="M50" s="61">
        <v>0</v>
      </c>
      <c r="N50" s="61">
        <v>0</v>
      </c>
    </row>
    <row r="51" spans="1:14" x14ac:dyDescent="0.25">
      <c r="A51" s="170" t="s">
        <v>19</v>
      </c>
      <c r="B51" s="171"/>
      <c r="C51" s="90">
        <f>C7+C8+C16+C27+C32+C35+C36+C37+C38+C39+C40+C41+C42+C43+C44+C45+C46+C47</f>
        <v>297</v>
      </c>
      <c r="D51" s="90">
        <f>D7+D8+D16+D27+D32+D35+D36+D37+D38+D39+D40+D41+D42+D43+D44+D45+D46+D47</f>
        <v>0</v>
      </c>
      <c r="E51" s="90">
        <f>E7+E8+E16+E27+E35+E36+E37+E38+E39+E40+E41+E42</f>
        <v>179</v>
      </c>
      <c r="F51" s="90">
        <f t="shared" ref="F51:I51" si="9">F7+F8+F16+F27+F35+F36+F37+F38+F39+F40+F41+F42</f>
        <v>179</v>
      </c>
      <c r="G51" s="90">
        <f t="shared" si="9"/>
        <v>0</v>
      </c>
      <c r="H51" s="90">
        <f t="shared" si="9"/>
        <v>0</v>
      </c>
      <c r="I51" s="90">
        <f t="shared" si="9"/>
        <v>0</v>
      </c>
      <c r="J51" s="90">
        <f>J7+J8+J16+J27+J32+J35+J36+J37+J38+J39+J40+J41+J42+J43+J44+J45+J46+J47</f>
        <v>118</v>
      </c>
      <c r="K51" s="90">
        <f t="shared" ref="K51:N51" si="10">K7+K8+K16+K27+K32+K35+K36+K37+K38+K39+K40+K41+K42+K43+K44+K45+K46+K47</f>
        <v>106</v>
      </c>
      <c r="L51" s="90">
        <f t="shared" si="10"/>
        <v>31</v>
      </c>
      <c r="M51" s="90">
        <f t="shared" si="10"/>
        <v>19</v>
      </c>
      <c r="N51" s="90">
        <f t="shared" si="10"/>
        <v>0</v>
      </c>
    </row>
    <row r="53" spans="1:14" ht="15.75" x14ac:dyDescent="0.25">
      <c r="A53" s="184" t="s">
        <v>306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</row>
    <row r="55" spans="1:14" x14ac:dyDescent="0.25">
      <c r="A55" s="185" t="s">
        <v>61</v>
      </c>
      <c r="B55" s="185"/>
      <c r="C55" s="185" t="s">
        <v>62</v>
      </c>
      <c r="D55" s="185"/>
      <c r="E55" s="185"/>
      <c r="F55" s="185"/>
      <c r="G55" s="185" t="s">
        <v>63</v>
      </c>
      <c r="H55" s="185"/>
      <c r="I55" s="185"/>
      <c r="J55" s="185"/>
      <c r="K55" s="185" t="s">
        <v>19</v>
      </c>
      <c r="L55" s="185"/>
      <c r="M55" s="185"/>
      <c r="N55" s="185"/>
    </row>
    <row r="56" spans="1:14" x14ac:dyDescent="0.25">
      <c r="A56" s="185">
        <v>1</v>
      </c>
      <c r="B56" s="185"/>
      <c r="C56" s="185">
        <v>2</v>
      </c>
      <c r="D56" s="185"/>
      <c r="E56" s="185"/>
      <c r="F56" s="185"/>
      <c r="G56" s="185">
        <v>3</v>
      </c>
      <c r="H56" s="185"/>
      <c r="I56" s="185"/>
      <c r="J56" s="185"/>
      <c r="K56" s="185">
        <v>4</v>
      </c>
      <c r="L56" s="185"/>
      <c r="M56" s="185"/>
      <c r="N56" s="185"/>
    </row>
    <row r="57" spans="1:14" x14ac:dyDescent="0.25">
      <c r="A57" s="183" t="s">
        <v>59</v>
      </c>
      <c r="B57" s="183"/>
      <c r="C57" s="186">
        <f>'1'!F56+'1'!L56</f>
        <v>285</v>
      </c>
      <c r="D57" s="187"/>
      <c r="E57" s="187"/>
      <c r="F57" s="187"/>
      <c r="G57" s="186">
        <f>'1'!C56-C57</f>
        <v>92</v>
      </c>
      <c r="H57" s="187"/>
      <c r="I57" s="187"/>
      <c r="J57" s="187"/>
      <c r="K57" s="187">
        <f>C57+G57</f>
        <v>377</v>
      </c>
      <c r="L57" s="187"/>
      <c r="M57" s="187"/>
      <c r="N57" s="187"/>
    </row>
    <row r="58" spans="1:14" x14ac:dyDescent="0.25">
      <c r="A58" s="183" t="s">
        <v>60</v>
      </c>
      <c r="B58" s="183"/>
      <c r="C58" s="186">
        <f>F51+K51</f>
        <v>285</v>
      </c>
      <c r="D58" s="187"/>
      <c r="E58" s="187"/>
      <c r="F58" s="187"/>
      <c r="G58" s="186">
        <f>C51-C58</f>
        <v>12</v>
      </c>
      <c r="H58" s="187"/>
      <c r="I58" s="187"/>
      <c r="J58" s="187"/>
      <c r="K58" s="187">
        <f>C58+G58</f>
        <v>297</v>
      </c>
      <c r="L58" s="187"/>
      <c r="M58" s="187"/>
      <c r="N58" s="187"/>
    </row>
  </sheetData>
  <sheetProtection password="CC43" sheet="1" objects="1" scenarios="1" selectLockedCells="1"/>
  <mergeCells count="34">
    <mergeCell ref="C56:F56"/>
    <mergeCell ref="G56:J56"/>
    <mergeCell ref="K56:N56"/>
    <mergeCell ref="A57:B57"/>
    <mergeCell ref="C57:F57"/>
    <mergeCell ref="G57:J57"/>
    <mergeCell ref="K57:N57"/>
    <mergeCell ref="A8:B8"/>
    <mergeCell ref="A16:B16"/>
    <mergeCell ref="A27:B27"/>
    <mergeCell ref="A32:B32"/>
    <mergeCell ref="A58:B58"/>
    <mergeCell ref="A51:B51"/>
    <mergeCell ref="A53:N53"/>
    <mergeCell ref="A55:B55"/>
    <mergeCell ref="C55:F55"/>
    <mergeCell ref="G55:J55"/>
    <mergeCell ref="K55:N55"/>
    <mergeCell ref="A47:B47"/>
    <mergeCell ref="C58:F58"/>
    <mergeCell ref="G58:J58"/>
    <mergeCell ref="K58:N58"/>
    <mergeCell ref="A56:B56"/>
    <mergeCell ref="A1:N1"/>
    <mergeCell ref="C3:C5"/>
    <mergeCell ref="D3:D5"/>
    <mergeCell ref="E4:F4"/>
    <mergeCell ref="G4:I4"/>
    <mergeCell ref="J4:K4"/>
    <mergeCell ref="L4:N4"/>
    <mergeCell ref="J3:N3"/>
    <mergeCell ref="E3:I3"/>
    <mergeCell ref="A3:A5"/>
    <mergeCell ref="B3:B5"/>
  </mergeCells>
  <dataValidations count="10">
    <dataValidation type="whole" operator="lessThanOrEqual" allowBlank="1" showInputMessage="1" showErrorMessage="1" sqref="M47 K47 J48:J50 L48:L50">
      <formula1>1000</formula1>
    </dataValidation>
    <dataValidation type="whole" operator="lessThanOrEqual" allowBlank="1" showInputMessage="1" showErrorMessage="1" sqref="J39:J40 E9:E15 E39:E40 G9:G15 L9:L15 L39:L40 G39:G40 J9:J15">
      <formula1>150</formula1>
    </dataValidation>
    <dataValidation type="whole" operator="lessThanOrEqual" allowBlank="1" showInputMessage="1" showErrorMessage="1" sqref="D7:D50">
      <formula1>15</formula1>
    </dataValidation>
    <dataValidation type="whole" operator="lessThanOrEqual" allowBlank="1" showInputMessage="1" showErrorMessage="1" sqref="N47 L47 F7 F9:F15 F17:F26 F28:F31 F35:F42 H7 H9:H15 H17:H26 H28:H31 H35:H42 K7 K9:K15 K17:K26 K28:K31 K33:K46 K48:K50 M7 M9:M15 M17:M26 M28:M31 M33:M46 M48:M50">
      <formula1>E7</formula1>
    </dataValidation>
    <dataValidation type="whole" operator="lessThanOrEqual" allowBlank="1" showInputMessage="1" showErrorMessage="1" sqref="J7 E7 G7 J36 L7 E36 G36 L36">
      <formula1>300</formula1>
    </dataValidation>
    <dataValidation type="whole" operator="lessThanOrEqual" allowBlank="1" showInputMessage="1" showErrorMessage="1" sqref="J42:J45 E17:E26 E42 G17:G26 L17:L26 L42:L45 G42 J17:J26">
      <formula1>100</formula1>
    </dataValidation>
    <dataValidation type="whole" operator="lessThanOrEqual" allowBlank="1" showInputMessage="1" showErrorMessage="1" sqref="G37 J37 E28:E31 J46 E35 G28:G31 J33:J35 G35 L46 L33:L35 E37 L28:L31 L37 J28:J31">
      <formula1>50</formula1>
    </dataValidation>
    <dataValidation type="whole" operator="lessThanOrEqual" allowBlank="1" showInputMessage="1" showErrorMessage="1" sqref="E38 G38 J38 L38">
      <formula1>800</formula1>
    </dataValidation>
    <dataValidation type="whole" operator="lessThanOrEqual" allowBlank="1" showInputMessage="1" showErrorMessage="1" sqref="E41 G41 J41 L41">
      <formula1>350</formula1>
    </dataValidation>
    <dataValidation type="whole" operator="lessThanOrEqual" allowBlank="1" showInputMessage="1" showErrorMessage="1" sqref="I7 I9:I15 I17:I26 I28:I31 I35:I42 N7 N9:N15 N17:N26 N28:N31 N33:N46 N48:N50">
      <formula1>G7</formula1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rowBreaks count="1" manualBreakCount="1">
    <brk id="26" max="16383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showWhiteSpace="0" view="pageLayout" workbookViewId="0">
      <selection activeCell="C13" sqref="C13:C14"/>
    </sheetView>
  </sheetViews>
  <sheetFormatPr defaultRowHeight="15" x14ac:dyDescent="0.25"/>
  <cols>
    <col min="1" max="1" width="4.28515625" style="1" customWidth="1"/>
    <col min="2" max="2" width="34.140625" style="1" customWidth="1"/>
    <col min="3" max="3" width="14.140625" style="1" customWidth="1"/>
    <col min="4" max="8" width="15.7109375" style="1" customWidth="1"/>
    <col min="9" max="16384" width="9.140625" style="1"/>
  </cols>
  <sheetData>
    <row r="1" spans="1:8" ht="15.75" x14ac:dyDescent="0.25">
      <c r="A1" s="179" t="s">
        <v>270</v>
      </c>
      <c r="B1" s="179"/>
      <c r="C1" s="179"/>
      <c r="D1" s="179"/>
      <c r="E1" s="179"/>
      <c r="F1" s="179"/>
      <c r="G1" s="179"/>
      <c r="H1" s="179"/>
    </row>
    <row r="3" spans="1:8" ht="15" customHeight="1" x14ac:dyDescent="0.25">
      <c r="A3" s="199" t="s">
        <v>147</v>
      </c>
      <c r="B3" s="199" t="s">
        <v>164</v>
      </c>
      <c r="C3" s="199" t="s">
        <v>165</v>
      </c>
      <c r="D3" s="199" t="s">
        <v>166</v>
      </c>
      <c r="E3" s="239" t="s">
        <v>167</v>
      </c>
      <c r="F3" s="249"/>
      <c r="G3" s="249"/>
      <c r="H3" s="240"/>
    </row>
    <row r="4" spans="1:8" ht="45" x14ac:dyDescent="0.25">
      <c r="A4" s="199"/>
      <c r="B4" s="199"/>
      <c r="C4" s="199"/>
      <c r="D4" s="199"/>
      <c r="E4" s="48" t="s">
        <v>168</v>
      </c>
      <c r="F4" s="48" t="s">
        <v>169</v>
      </c>
      <c r="G4" s="48" t="s">
        <v>170</v>
      </c>
      <c r="H4" s="48" t="s">
        <v>364</v>
      </c>
    </row>
    <row r="5" spans="1:8" x14ac:dyDescent="0.25">
      <c r="A5" s="48">
        <v>1</v>
      </c>
      <c r="B5" s="37"/>
      <c r="C5" s="36"/>
      <c r="D5" s="36"/>
      <c r="E5" s="36"/>
      <c r="F5" s="36"/>
      <c r="G5" s="36"/>
      <c r="H5" s="36"/>
    </row>
    <row r="6" spans="1:8" x14ac:dyDescent="0.25">
      <c r="A6" s="48">
        <v>2</v>
      </c>
      <c r="B6" s="37"/>
      <c r="C6" s="36"/>
      <c r="D6" s="36"/>
      <c r="E6" s="36"/>
      <c r="F6" s="36"/>
      <c r="G6" s="36"/>
      <c r="H6" s="36"/>
    </row>
    <row r="7" spans="1:8" x14ac:dyDescent="0.25">
      <c r="A7" s="122">
        <v>3</v>
      </c>
      <c r="B7" s="37"/>
      <c r="C7" s="36"/>
      <c r="D7" s="36"/>
      <c r="E7" s="36"/>
      <c r="F7" s="36"/>
      <c r="G7" s="36"/>
      <c r="H7" s="36"/>
    </row>
    <row r="8" spans="1:8" x14ac:dyDescent="0.25">
      <c r="A8" s="122">
        <v>4</v>
      </c>
      <c r="B8" s="37"/>
      <c r="C8" s="36"/>
      <c r="D8" s="36"/>
      <c r="E8" s="36"/>
      <c r="F8" s="36"/>
      <c r="G8" s="36"/>
      <c r="H8" s="36"/>
    </row>
    <row r="9" spans="1:8" x14ac:dyDescent="0.25">
      <c r="A9" s="48">
        <v>5</v>
      </c>
      <c r="B9" s="37"/>
      <c r="C9" s="36"/>
      <c r="D9" s="36"/>
      <c r="E9" s="36"/>
      <c r="F9" s="36"/>
      <c r="G9" s="36"/>
      <c r="H9" s="36"/>
    </row>
    <row r="10" spans="1:8" ht="15" customHeight="1" x14ac:dyDescent="0.25">
      <c r="A10" s="7"/>
      <c r="B10" s="7"/>
      <c r="C10" s="7"/>
      <c r="D10" s="7"/>
      <c r="E10" s="7"/>
      <c r="F10" s="7"/>
      <c r="G10" s="7"/>
      <c r="H10" s="7"/>
    </row>
    <row r="11" spans="1:8" ht="15" customHeight="1" x14ac:dyDescent="0.25">
      <c r="A11" s="248" t="s">
        <v>271</v>
      </c>
      <c r="B11" s="248"/>
      <c r="C11" s="248"/>
      <c r="D11" s="248"/>
      <c r="E11" s="248"/>
      <c r="F11" s="248"/>
      <c r="G11" s="248"/>
      <c r="H11" s="248"/>
    </row>
    <row r="13" spans="1:8" x14ac:dyDescent="0.25">
      <c r="A13" s="199" t="s">
        <v>147</v>
      </c>
      <c r="B13" s="199" t="s">
        <v>172</v>
      </c>
      <c r="C13" s="199" t="s">
        <v>171</v>
      </c>
      <c r="D13" s="199" t="s">
        <v>377</v>
      </c>
      <c r="E13" s="239" t="s">
        <v>167</v>
      </c>
      <c r="F13" s="249"/>
      <c r="G13" s="249"/>
      <c r="H13" s="240"/>
    </row>
    <row r="14" spans="1:8" ht="45" x14ac:dyDescent="0.25">
      <c r="A14" s="199"/>
      <c r="B14" s="199"/>
      <c r="C14" s="199"/>
      <c r="D14" s="199"/>
      <c r="E14" s="48" t="s">
        <v>168</v>
      </c>
      <c r="F14" s="48" t="s">
        <v>169</v>
      </c>
      <c r="G14" s="48" t="s">
        <v>170</v>
      </c>
      <c r="H14" s="48" t="s">
        <v>364</v>
      </c>
    </row>
    <row r="15" spans="1:8" ht="30" x14ac:dyDescent="0.25">
      <c r="A15" s="34">
        <v>1</v>
      </c>
      <c r="B15" s="145" t="s">
        <v>462</v>
      </c>
      <c r="C15" s="34">
        <v>9</v>
      </c>
      <c r="D15" s="34">
        <v>10.8</v>
      </c>
      <c r="E15" s="36">
        <v>0</v>
      </c>
      <c r="F15" s="36">
        <v>0</v>
      </c>
      <c r="G15" s="36">
        <v>0</v>
      </c>
      <c r="H15" s="149" t="s">
        <v>469</v>
      </c>
    </row>
    <row r="16" spans="1:8" ht="30" x14ac:dyDescent="0.25">
      <c r="A16" s="34">
        <v>2</v>
      </c>
      <c r="B16" s="145" t="s">
        <v>463</v>
      </c>
      <c r="C16" s="34">
        <v>3</v>
      </c>
      <c r="D16" s="34">
        <v>3</v>
      </c>
      <c r="E16" s="36">
        <v>0</v>
      </c>
      <c r="F16" s="36">
        <v>0</v>
      </c>
      <c r="G16" s="36">
        <v>0</v>
      </c>
      <c r="H16" s="149" t="s">
        <v>470</v>
      </c>
    </row>
    <row r="17" spans="1:8" x14ac:dyDescent="0.25">
      <c r="A17" s="34" t="str">
        <f>IF(OR(B17&lt;&gt;0, C17&lt;&gt;0, D17&lt;&gt;0, E17&lt;&gt;0, F17&lt;&gt;0, G17&lt;&gt;0, H17&lt;&gt;0), 3, "")</f>
        <v/>
      </c>
      <c r="B17" s="34"/>
      <c r="C17" s="34"/>
      <c r="D17" s="34"/>
      <c r="E17" s="34"/>
      <c r="F17" s="34"/>
      <c r="G17" s="34"/>
      <c r="H17" s="34"/>
    </row>
    <row r="18" spans="1:8" x14ac:dyDescent="0.25">
      <c r="A18" s="34" t="str">
        <f>IF(OR(B18&lt;&gt;0, C18&lt;&gt;0, D18&lt;&gt;0, E18&lt;&gt;0, F18&lt;&gt;0, G18&lt;&gt;0, H18&lt;&gt;0), 4, "")</f>
        <v/>
      </c>
      <c r="B18" s="34"/>
      <c r="C18" s="34"/>
      <c r="D18" s="34"/>
      <c r="E18" s="34"/>
      <c r="F18" s="34"/>
      <c r="G18" s="34"/>
      <c r="H18" s="34"/>
    </row>
    <row r="19" spans="1:8" x14ac:dyDescent="0.25">
      <c r="A19" s="34" t="str">
        <f>IF(OR(B19&lt;&gt;0, C19&lt;&gt;0, D19&lt;&gt;0, E19&lt;&gt;0, F19&lt;&gt;0, G19&lt;&gt;0, H19&lt;&gt;0), 5, "")</f>
        <v/>
      </c>
      <c r="B19" s="34"/>
      <c r="C19" s="34"/>
      <c r="D19" s="34"/>
      <c r="E19" s="34"/>
      <c r="F19" s="34"/>
      <c r="G19" s="34"/>
      <c r="H19" s="34"/>
    </row>
    <row r="20" spans="1:8" x14ac:dyDescent="0.25">
      <c r="A20" s="34" t="str">
        <f>IF(OR(B20&lt;&gt;0, C20&lt;&gt;0, D20&lt;&gt;0, E20&lt;&gt;0, F20&lt;&gt;0, G20&lt;&gt;0, H20&lt;&gt;0), 6, "")</f>
        <v/>
      </c>
      <c r="B20" s="34"/>
      <c r="C20" s="34"/>
      <c r="D20" s="34"/>
      <c r="E20" s="34"/>
      <c r="F20" s="34"/>
      <c r="G20" s="34"/>
      <c r="H20" s="34"/>
    </row>
    <row r="21" spans="1:8" x14ac:dyDescent="0.25">
      <c r="A21" s="34" t="str">
        <f>IF(OR(B21&lt;&gt;0, C21&lt;&gt;0, D21&lt;&gt;0, E21&lt;&gt;0, F21&lt;&gt;0, G21&lt;&gt;0, H21&lt;&gt;0), 7, "")</f>
        <v/>
      </c>
      <c r="B21" s="34"/>
      <c r="C21" s="34"/>
      <c r="D21" s="34"/>
      <c r="E21" s="34"/>
      <c r="F21" s="34"/>
      <c r="G21" s="34"/>
      <c r="H21" s="34"/>
    </row>
    <row r="22" spans="1:8" x14ac:dyDescent="0.25">
      <c r="A22" s="34" t="str">
        <f>IF(OR(B22&lt;&gt;0, C22&lt;&gt;0, D22&lt;&gt;0, E22&lt;&gt;0, F22&lt;&gt;0, G22&lt;&gt;0, H22&lt;&gt;0), 8, "")</f>
        <v/>
      </c>
      <c r="B22" s="34"/>
      <c r="C22" s="34"/>
      <c r="D22" s="34"/>
      <c r="E22" s="34"/>
      <c r="F22" s="34"/>
      <c r="G22" s="34"/>
      <c r="H22" s="34"/>
    </row>
    <row r="23" spans="1:8" x14ac:dyDescent="0.25">
      <c r="A23" s="34" t="str">
        <f>IF(OR(B23&lt;&gt;0, C23&lt;&gt;0, D23&lt;&gt;0, E23&lt;&gt;0, F23&lt;&gt;0, G23&lt;&gt;0, H23&lt;&gt;0), 9, "")</f>
        <v/>
      </c>
      <c r="B23" s="34"/>
      <c r="C23" s="34"/>
      <c r="D23" s="34"/>
      <c r="E23" s="34"/>
      <c r="F23" s="34"/>
      <c r="G23" s="34"/>
      <c r="H23" s="34"/>
    </row>
    <row r="24" spans="1:8" x14ac:dyDescent="0.25">
      <c r="A24" s="34" t="str">
        <f>IF(OR(B24&lt;&gt;0, C24&lt;&gt;0, D24&lt;&gt;0, E24&lt;&gt;0, F24&lt;&gt;0, G24&lt;&gt;0, H24&lt;&gt;0), 10, "")</f>
        <v/>
      </c>
      <c r="B24" s="34"/>
      <c r="C24" s="34"/>
      <c r="D24" s="34"/>
      <c r="E24" s="34"/>
      <c r="F24" s="34"/>
      <c r="G24" s="34"/>
      <c r="H24" s="34"/>
    </row>
  </sheetData>
  <sheetProtection selectLockedCells="1"/>
  <mergeCells count="12">
    <mergeCell ref="A1:H1"/>
    <mergeCell ref="D3:D4"/>
    <mergeCell ref="C3:C4"/>
    <mergeCell ref="B3:B4"/>
    <mergeCell ref="A3:A4"/>
    <mergeCell ref="E3:H3"/>
    <mergeCell ref="A11:H11"/>
    <mergeCell ref="E13:H13"/>
    <mergeCell ref="D13:D14"/>
    <mergeCell ref="C13:C14"/>
    <mergeCell ref="B13:B14"/>
    <mergeCell ref="A13:A14"/>
  </mergeCells>
  <conditionalFormatting sqref="B15:H24">
    <cfRule type="cellIs" dxfId="13" priority="3" operator="greaterThan">
      <formula>0</formula>
    </cfRule>
  </conditionalFormatting>
  <conditionalFormatting sqref="A15:A24">
    <cfRule type="cellIs" dxfId="12" priority="1" operator="between">
      <formula>1</formula>
      <formula>10</formula>
    </cfRule>
  </conditionalFormatting>
  <dataValidations count="4">
    <dataValidation type="list" allowBlank="1" showInputMessage="1" showErrorMessage="1" sqref="C5:C10">
      <formula1>"Текущий, Капитальный"</formula1>
    </dataValidation>
    <dataValidation type="decimal" allowBlank="1" showInputMessage="1" showErrorMessage="1" sqref="E5:G9">
      <formula1>0</formula1>
      <formula2>9999999</formula2>
    </dataValidation>
    <dataValidation type="whole" allowBlank="1" showInputMessage="1" showErrorMessage="1" sqref="C15:C24">
      <formula1>0</formula1>
      <formula2>100</formula2>
    </dataValidation>
    <dataValidation type="decimal" allowBlank="1" showInputMessage="1" showErrorMessage="1" sqref="D15:G24">
      <formula1>0</formula1>
      <formula2>1000000000</formula2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ignoredErrors>
    <ignoredError sqref="A17:A24" unlockedFormula="1"/>
  </ignoredError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WhiteSpace="0" view="pageLayout" workbookViewId="0">
      <selection activeCell="D19" sqref="D19"/>
    </sheetView>
  </sheetViews>
  <sheetFormatPr defaultRowHeight="15" x14ac:dyDescent="0.25"/>
  <cols>
    <col min="1" max="1" width="5.85546875" style="1" customWidth="1"/>
    <col min="2" max="2" width="29.28515625" style="1" customWidth="1"/>
    <col min="3" max="8" width="16" style="1" customWidth="1"/>
    <col min="9" max="16384" width="9.140625" style="1"/>
  </cols>
  <sheetData>
    <row r="1" spans="1:8" ht="15.75" x14ac:dyDescent="0.25">
      <c r="A1" s="179" t="s">
        <v>366</v>
      </c>
      <c r="B1" s="179"/>
      <c r="C1" s="179"/>
      <c r="D1" s="179"/>
      <c r="E1" s="179"/>
      <c r="F1" s="179"/>
      <c r="G1" s="179"/>
      <c r="H1" s="179"/>
    </row>
    <row r="3" spans="1:8" x14ac:dyDescent="0.25">
      <c r="A3" s="199" t="s">
        <v>147</v>
      </c>
      <c r="B3" s="199" t="s">
        <v>204</v>
      </c>
      <c r="C3" s="199" t="s">
        <v>171</v>
      </c>
      <c r="D3" s="199" t="s">
        <v>363</v>
      </c>
      <c r="E3" s="199" t="s">
        <v>167</v>
      </c>
      <c r="F3" s="199"/>
      <c r="G3" s="199"/>
      <c r="H3" s="199"/>
    </row>
    <row r="4" spans="1:8" ht="45" x14ac:dyDescent="0.25">
      <c r="A4" s="199"/>
      <c r="B4" s="199"/>
      <c r="C4" s="199"/>
      <c r="D4" s="199"/>
      <c r="E4" s="48" t="s">
        <v>168</v>
      </c>
      <c r="F4" s="48" t="s">
        <v>169</v>
      </c>
      <c r="G4" s="48" t="s">
        <v>170</v>
      </c>
      <c r="H4" s="48" t="s">
        <v>364</v>
      </c>
    </row>
    <row r="5" spans="1:8" x14ac:dyDescent="0.25">
      <c r="A5" s="46">
        <f>IF(OR(B5&lt;&gt;0, C5&lt;&gt;0, D5&lt;&gt;0, E5&lt;&gt;0, F5&lt;&gt;0, G5&lt;&gt;0, H5&lt;&gt;0), 1, "")</f>
        <v>1</v>
      </c>
      <c r="B5" s="145" t="s">
        <v>464</v>
      </c>
      <c r="C5" s="34">
        <v>20</v>
      </c>
      <c r="D5" s="34">
        <v>45.9</v>
      </c>
      <c r="E5" s="36">
        <v>0</v>
      </c>
      <c r="F5" s="36">
        <v>45.9</v>
      </c>
      <c r="G5" s="36">
        <v>0</v>
      </c>
      <c r="H5" s="36">
        <v>0</v>
      </c>
    </row>
    <row r="6" spans="1:8" x14ac:dyDescent="0.25">
      <c r="A6" s="46">
        <f>IF(OR(B6&lt;&gt;0, C6&lt;&gt;0, D6&lt;&gt;0, E6&lt;&gt;0, F6&lt;&gt;0, G6&lt;&gt;0, H6&lt;&gt;0), 2, "")</f>
        <v>2</v>
      </c>
      <c r="B6" s="146" t="s">
        <v>465</v>
      </c>
      <c r="C6" s="34">
        <v>11</v>
      </c>
      <c r="D6" s="34">
        <v>4.62</v>
      </c>
      <c r="E6" s="36">
        <v>0</v>
      </c>
      <c r="F6" s="36">
        <v>0</v>
      </c>
      <c r="G6" s="36">
        <v>4.62</v>
      </c>
      <c r="H6" s="36">
        <v>0</v>
      </c>
    </row>
    <row r="7" spans="1:8" x14ac:dyDescent="0.25">
      <c r="A7" s="46">
        <f>IF(OR(B7&lt;&gt;0, C7&lt;&gt;0, D7&lt;&gt;0, E7&lt;&gt;0, F7&lt;&gt;0, G7&lt;&gt;0, H7&lt;&gt;0), 3, "")</f>
        <v>3</v>
      </c>
      <c r="B7" s="148" t="s">
        <v>467</v>
      </c>
      <c r="C7" s="34">
        <v>2</v>
      </c>
      <c r="D7" s="34">
        <v>3.7</v>
      </c>
      <c r="E7" s="36">
        <v>0</v>
      </c>
      <c r="F7" s="36">
        <v>0</v>
      </c>
      <c r="G7" s="36">
        <v>3.7</v>
      </c>
      <c r="H7" s="36">
        <v>0</v>
      </c>
    </row>
    <row r="8" spans="1:8" x14ac:dyDescent="0.25">
      <c r="A8" s="46">
        <f>IF(OR(B8&lt;&gt;0, C8&lt;&gt;0, D8&lt;&gt;0, E8&lt;&gt;0, F8&lt;&gt;0, G8&lt;&gt;0, H8&lt;&gt;0), 4, "")</f>
        <v>4</v>
      </c>
      <c r="B8" s="147" t="s">
        <v>466</v>
      </c>
      <c r="C8" s="34">
        <v>4</v>
      </c>
      <c r="D8" s="34">
        <v>1.34</v>
      </c>
      <c r="E8" s="36">
        <v>0</v>
      </c>
      <c r="F8" s="36">
        <v>0</v>
      </c>
      <c r="G8" s="36">
        <v>1.34</v>
      </c>
      <c r="H8" s="36">
        <v>0</v>
      </c>
    </row>
    <row r="9" spans="1:8" x14ac:dyDescent="0.25">
      <c r="A9" s="46" t="str">
        <f>IF(OR(B9&lt;&gt;0, C9&lt;&gt;0, D9&lt;&gt;0, E9&lt;&gt;0, F9&lt;&gt;0, G9&lt;&gt;0, H9&lt;&gt;0), 5, "")</f>
        <v/>
      </c>
      <c r="B9" s="34"/>
      <c r="C9" s="34"/>
      <c r="D9" s="34"/>
      <c r="E9" s="34"/>
      <c r="F9" s="34"/>
      <c r="G9" s="34"/>
      <c r="H9" s="34"/>
    </row>
    <row r="10" spans="1:8" x14ac:dyDescent="0.25">
      <c r="A10" s="46" t="str">
        <f>IF(OR(B10&lt;&gt;0, C10&lt;&gt;0, D10&lt;&gt;0, E10&lt;&gt;0, F10&lt;&gt;0, G10&lt;&gt;0, H10&lt;&gt;0), 6, "")</f>
        <v/>
      </c>
      <c r="B10" s="34"/>
      <c r="C10" s="34"/>
      <c r="D10" s="34"/>
      <c r="E10" s="34"/>
      <c r="F10" s="34"/>
      <c r="G10" s="34"/>
      <c r="H10" s="34"/>
    </row>
    <row r="11" spans="1:8" x14ac:dyDescent="0.25">
      <c r="A11" s="46" t="str">
        <f>IF(OR(B11&lt;&gt;0, C11&lt;&gt;0, D11&lt;&gt;0, E11&lt;&gt;0, F11&lt;&gt;0, G11&lt;&gt;0, H11&lt;&gt;0), 7, "")</f>
        <v/>
      </c>
      <c r="B11" s="34"/>
      <c r="C11" s="34"/>
      <c r="D11" s="34"/>
      <c r="E11" s="34"/>
      <c r="F11" s="34"/>
      <c r="G11" s="34"/>
      <c r="H11" s="34"/>
    </row>
    <row r="12" spans="1:8" x14ac:dyDescent="0.25">
      <c r="A12" s="46" t="str">
        <f>IF(OR(B12&lt;&gt;0, C12&lt;&gt;0, D12&lt;&gt;0, E12&lt;&gt;0, F12&lt;&gt;0, G12&lt;&gt;0, H12&lt;&gt;0), 8, "")</f>
        <v/>
      </c>
      <c r="B12" s="34"/>
      <c r="C12" s="34"/>
      <c r="D12" s="34"/>
      <c r="E12" s="34"/>
      <c r="F12" s="34"/>
      <c r="G12" s="34"/>
      <c r="H12" s="34"/>
    </row>
    <row r="13" spans="1:8" x14ac:dyDescent="0.25">
      <c r="A13" s="46" t="str">
        <f>IF(OR(B13&lt;&gt;0, C13&lt;&gt;0, D13&lt;&gt;0, E13&lt;&gt;0, F13&lt;&gt;0, G13&lt;&gt;0, H13&lt;&gt;0), 9, "")</f>
        <v/>
      </c>
      <c r="B13" s="34"/>
      <c r="C13" s="34"/>
      <c r="D13" s="34"/>
      <c r="E13" s="34"/>
      <c r="F13" s="34"/>
      <c r="G13" s="34"/>
      <c r="H13" s="34"/>
    </row>
    <row r="14" spans="1:8" x14ac:dyDescent="0.25">
      <c r="A14" s="46" t="str">
        <f>IF(OR(B14&lt;&gt;0, C14&lt;&gt;0, D14&lt;&gt;0, E14&lt;&gt;0, F14&lt;&gt;0, G14&lt;&gt;0, H14&lt;&gt;0), 10, "")</f>
        <v/>
      </c>
      <c r="B14" s="34"/>
      <c r="C14" s="34"/>
      <c r="D14" s="34"/>
      <c r="E14" s="34"/>
      <c r="F14" s="34"/>
      <c r="G14" s="34"/>
      <c r="H14" s="34"/>
    </row>
    <row r="15" spans="1:8" x14ac:dyDescent="0.25">
      <c r="A15" s="46" t="str">
        <f>IF(OR(B15&lt;&gt;0, C15&lt;&gt;0, D15&lt;&gt;0, E15&lt;&gt;0, F15&lt;&gt;0, G15&lt;&gt;0, H15&lt;&gt;0), 11, "")</f>
        <v/>
      </c>
      <c r="B15" s="34"/>
      <c r="C15" s="34"/>
      <c r="D15" s="34"/>
      <c r="E15" s="34"/>
      <c r="F15" s="34"/>
      <c r="G15" s="34"/>
      <c r="H15" s="34"/>
    </row>
    <row r="16" spans="1:8" x14ac:dyDescent="0.25">
      <c r="A16" s="46" t="str">
        <f>IF(OR(B16&lt;&gt;0, C16&lt;&gt;0, D16&lt;&gt;0, E16&lt;&gt;0, F16&lt;&gt;0, G16&lt;&gt;0, H16&lt;&gt;0), 12, "")</f>
        <v/>
      </c>
      <c r="B16" s="34"/>
      <c r="C16" s="34"/>
      <c r="D16" s="34"/>
      <c r="E16" s="34"/>
      <c r="F16" s="34"/>
      <c r="G16" s="34"/>
      <c r="H16" s="34"/>
    </row>
    <row r="17" spans="1:8" x14ac:dyDescent="0.25">
      <c r="A17" s="46" t="str">
        <f>IF(OR(B17&lt;&gt;0, C17&lt;&gt;0, D17&lt;&gt;0, E17&lt;&gt;0, F17&lt;&gt;0, G17&lt;&gt;0, H17&lt;&gt;0), 13, "")</f>
        <v/>
      </c>
      <c r="B17" s="34"/>
      <c r="C17" s="34"/>
      <c r="D17" s="34"/>
      <c r="E17" s="34"/>
      <c r="F17" s="34"/>
      <c r="G17" s="34"/>
      <c r="H17" s="34"/>
    </row>
    <row r="18" spans="1:8" x14ac:dyDescent="0.25">
      <c r="A18" s="46" t="str">
        <f>IF(OR(B18&lt;&gt;0, C18&lt;&gt;0, D18&lt;&gt;0, E18&lt;&gt;0, F18&lt;&gt;0, G18&lt;&gt;0, H18&lt;&gt;0), 14, "")</f>
        <v/>
      </c>
      <c r="B18" s="34"/>
      <c r="C18" s="34"/>
      <c r="D18" s="34"/>
      <c r="E18" s="34"/>
      <c r="F18" s="34"/>
      <c r="G18" s="34"/>
      <c r="H18" s="34"/>
    </row>
    <row r="19" spans="1:8" x14ac:dyDescent="0.25">
      <c r="A19" s="46" t="str">
        <f>IF(OR(B19&lt;&gt;0, C19&lt;&gt;0, D19&lt;&gt;0, E19&lt;&gt;0, F19&lt;&gt;0, G19&lt;&gt;0, H19&lt;&gt;0), 15, "")</f>
        <v/>
      </c>
      <c r="B19" s="34"/>
      <c r="C19" s="34"/>
      <c r="D19" s="34"/>
      <c r="E19" s="34"/>
      <c r="F19" s="34"/>
      <c r="G19" s="34"/>
      <c r="H19" s="34"/>
    </row>
  </sheetData>
  <sheetProtection selectLockedCells="1"/>
  <mergeCells count="6">
    <mergeCell ref="A1:H1"/>
    <mergeCell ref="A3:A4"/>
    <mergeCell ref="B3:B4"/>
    <mergeCell ref="C3:C4"/>
    <mergeCell ref="D3:D4"/>
    <mergeCell ref="E3:H3"/>
  </mergeCells>
  <conditionalFormatting sqref="E5:H19 B5:C19">
    <cfRule type="cellIs" dxfId="11" priority="4" operator="greaterThan">
      <formula>0</formula>
    </cfRule>
  </conditionalFormatting>
  <conditionalFormatting sqref="D5:D19">
    <cfRule type="cellIs" dxfId="10" priority="3" operator="between">
      <formula>0.001</formula>
      <formula>9999999</formula>
    </cfRule>
  </conditionalFormatting>
  <conditionalFormatting sqref="A5:A19">
    <cfRule type="cellIs" dxfId="9" priority="1" operator="between">
      <formula>0</formula>
      <formula>15</formula>
    </cfRule>
  </conditionalFormatting>
  <dataValidations count="3">
    <dataValidation type="decimal" allowBlank="1" showInputMessage="1" showErrorMessage="1" sqref="F5:G19">
      <formula1>0</formula1>
      <formula2>10000</formula2>
    </dataValidation>
    <dataValidation type="whole" allowBlank="1" showInputMessage="1" showErrorMessage="1" sqref="C5:C19">
      <formula1>1</formula1>
      <formula2>9999</formula2>
    </dataValidation>
    <dataValidation type="decimal" allowBlank="1" showInputMessage="1" showErrorMessage="1" sqref="D5:E19">
      <formula1>0</formula1>
      <formula2>10000</formula2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WhiteSpace="0" view="pageLayout" workbookViewId="0">
      <selection activeCell="B5" sqref="B5:H5"/>
    </sheetView>
  </sheetViews>
  <sheetFormatPr defaultRowHeight="15" x14ac:dyDescent="0.25"/>
  <cols>
    <col min="1" max="1" width="5.85546875" style="1" customWidth="1"/>
    <col min="2" max="2" width="29.28515625" style="1" customWidth="1"/>
    <col min="3" max="8" width="16" style="1" customWidth="1"/>
    <col min="9" max="16384" width="9.140625" style="1"/>
  </cols>
  <sheetData>
    <row r="1" spans="1:8" ht="15.75" x14ac:dyDescent="0.25">
      <c r="A1" s="179" t="s">
        <v>365</v>
      </c>
      <c r="B1" s="179"/>
      <c r="C1" s="179"/>
      <c r="D1" s="179"/>
      <c r="E1" s="179"/>
      <c r="F1" s="179"/>
      <c r="G1" s="179"/>
      <c r="H1" s="179"/>
    </row>
    <row r="3" spans="1:8" x14ac:dyDescent="0.25">
      <c r="A3" s="199" t="s">
        <v>147</v>
      </c>
      <c r="B3" s="199" t="s">
        <v>204</v>
      </c>
      <c r="C3" s="199" t="s">
        <v>171</v>
      </c>
      <c r="D3" s="199" t="s">
        <v>363</v>
      </c>
      <c r="E3" s="199" t="s">
        <v>167</v>
      </c>
      <c r="F3" s="199"/>
      <c r="G3" s="199"/>
      <c r="H3" s="199"/>
    </row>
    <row r="4" spans="1:8" ht="45" x14ac:dyDescent="0.25">
      <c r="A4" s="199"/>
      <c r="B4" s="199"/>
      <c r="C4" s="199"/>
      <c r="D4" s="199"/>
      <c r="E4" s="122" t="s">
        <v>168</v>
      </c>
      <c r="F4" s="122" t="s">
        <v>169</v>
      </c>
      <c r="G4" s="122" t="s">
        <v>170</v>
      </c>
      <c r="H4" s="122" t="s">
        <v>364</v>
      </c>
    </row>
    <row r="5" spans="1:8" x14ac:dyDescent="0.25">
      <c r="A5" s="46">
        <f>IF(OR(B5&lt;&gt;0, C5&lt;&gt;0, D5&lt;&gt;0, E5&lt;&gt;0, F5&lt;&gt;0, G5&lt;&gt;0, H5&lt;&gt;0), 1, "")</f>
        <v>1</v>
      </c>
      <c r="B5" s="148" t="s">
        <v>468</v>
      </c>
      <c r="C5" s="34">
        <v>20</v>
      </c>
      <c r="D5" s="34">
        <v>9.6</v>
      </c>
      <c r="E5" s="36">
        <v>0</v>
      </c>
      <c r="F5" s="36">
        <v>9.6</v>
      </c>
      <c r="G5" s="36">
        <v>0</v>
      </c>
      <c r="H5" s="36">
        <v>0</v>
      </c>
    </row>
    <row r="6" spans="1:8" x14ac:dyDescent="0.25">
      <c r="A6" s="46" t="str">
        <f>IF(OR(B6&lt;&gt;0, C6&lt;&gt;0, D6&lt;&gt;0, E6&lt;&gt;0, F6&lt;&gt;0, G6&lt;&gt;0, H6&lt;&gt;0), 2, "")</f>
        <v/>
      </c>
      <c r="B6" s="147"/>
      <c r="C6" s="34"/>
      <c r="D6" s="34"/>
      <c r="E6" s="34"/>
      <c r="F6" s="34"/>
      <c r="G6" s="34"/>
      <c r="H6" s="34"/>
    </row>
    <row r="7" spans="1:8" x14ac:dyDescent="0.25">
      <c r="A7" s="46" t="str">
        <f>IF(OR(B7&lt;&gt;0, C7&lt;&gt;0, D7&lt;&gt;0, E7&lt;&gt;0, F7&lt;&gt;0, G7&lt;&gt;0, H7&lt;&gt;0), 1, "")</f>
        <v/>
      </c>
      <c r="B7" s="34"/>
      <c r="C7" s="34"/>
      <c r="D7" s="34"/>
      <c r="E7" s="34"/>
      <c r="F7" s="34"/>
      <c r="G7" s="34"/>
      <c r="H7" s="34"/>
    </row>
    <row r="8" spans="1:8" x14ac:dyDescent="0.25">
      <c r="A8" s="46" t="str">
        <f>IF(OR(B8&lt;&gt;0, C8&lt;&gt;0, D8&lt;&gt;0, E8&lt;&gt;0, F8&lt;&gt;0, G8&lt;&gt;0, H8&lt;&gt;0), 4, "")</f>
        <v/>
      </c>
      <c r="B8" s="34"/>
      <c r="C8" s="34"/>
      <c r="D8" s="34"/>
      <c r="E8" s="34"/>
      <c r="F8" s="34"/>
      <c r="G8" s="34"/>
      <c r="H8" s="34"/>
    </row>
    <row r="9" spans="1:8" x14ac:dyDescent="0.25">
      <c r="A9" s="46" t="str">
        <f>IF(OR(B9&lt;&gt;0, C9&lt;&gt;0, D9&lt;&gt;0, E9&lt;&gt;0, F9&lt;&gt;0, G9&lt;&gt;0, H9&lt;&gt;0), 5, "")</f>
        <v/>
      </c>
      <c r="B9" s="34"/>
      <c r="C9" s="34"/>
      <c r="D9" s="34"/>
      <c r="E9" s="34"/>
      <c r="F9" s="34"/>
      <c r="G9" s="34"/>
      <c r="H9" s="34"/>
    </row>
    <row r="10" spans="1:8" x14ac:dyDescent="0.25">
      <c r="A10" s="46" t="str">
        <f>IF(OR(B10&lt;&gt;0, C10&lt;&gt;0, D10&lt;&gt;0, E10&lt;&gt;0, F10&lt;&gt;0, G10&lt;&gt;0, H10&lt;&gt;0), 6, "")</f>
        <v/>
      </c>
      <c r="B10" s="34"/>
      <c r="C10" s="34"/>
      <c r="D10" s="34"/>
      <c r="E10" s="34"/>
      <c r="F10" s="34"/>
      <c r="G10" s="34"/>
      <c r="H10" s="34"/>
    </row>
    <row r="11" spans="1:8" x14ac:dyDescent="0.25">
      <c r="A11" s="46" t="str">
        <f>IF(OR(B11&lt;&gt;0, C11&lt;&gt;0, D11&lt;&gt;0, E11&lt;&gt;0, F11&lt;&gt;0, G11&lt;&gt;0, H11&lt;&gt;0), 7, "")</f>
        <v/>
      </c>
      <c r="B11" s="34"/>
      <c r="C11" s="34"/>
      <c r="D11" s="34"/>
      <c r="E11" s="34"/>
      <c r="F11" s="34"/>
      <c r="G11" s="34"/>
      <c r="H11" s="34"/>
    </row>
    <row r="12" spans="1:8" x14ac:dyDescent="0.25">
      <c r="A12" s="46" t="str">
        <f>IF(OR(B12&lt;&gt;0, C12&lt;&gt;0, D12&lt;&gt;0, E12&lt;&gt;0, F12&lt;&gt;0, G12&lt;&gt;0, H12&lt;&gt;0), 8, "")</f>
        <v/>
      </c>
      <c r="B12" s="34"/>
      <c r="C12" s="34"/>
      <c r="D12" s="34"/>
      <c r="E12" s="34"/>
      <c r="F12" s="34"/>
      <c r="G12" s="34"/>
      <c r="H12" s="34"/>
    </row>
    <row r="13" spans="1:8" x14ac:dyDescent="0.25">
      <c r="A13" s="46" t="str">
        <f>IF(OR(B13&lt;&gt;0, C13&lt;&gt;0, D13&lt;&gt;0, E13&lt;&gt;0, F13&lt;&gt;0, G13&lt;&gt;0, H13&lt;&gt;0), 9, "")</f>
        <v/>
      </c>
      <c r="B13" s="34"/>
      <c r="C13" s="34"/>
      <c r="D13" s="34"/>
      <c r="E13" s="34"/>
      <c r="F13" s="34"/>
      <c r="G13" s="34"/>
      <c r="H13" s="34"/>
    </row>
    <row r="14" spans="1:8" x14ac:dyDescent="0.25">
      <c r="A14" s="46" t="str">
        <f>IF(OR(B14&lt;&gt;0, C14&lt;&gt;0, D14&lt;&gt;0, E14&lt;&gt;0, F14&lt;&gt;0, G14&lt;&gt;0, H14&lt;&gt;0), 10, "")</f>
        <v/>
      </c>
      <c r="B14" s="34"/>
      <c r="C14" s="34"/>
      <c r="D14" s="34"/>
      <c r="E14" s="34"/>
      <c r="F14" s="34"/>
      <c r="G14" s="34"/>
      <c r="H14" s="34"/>
    </row>
    <row r="15" spans="1:8" x14ac:dyDescent="0.25">
      <c r="A15" s="46" t="str">
        <f>IF(OR(B15&lt;&gt;0, C15&lt;&gt;0, D15&lt;&gt;0, E15&lt;&gt;0, F15&lt;&gt;0, G15&lt;&gt;0, H15&lt;&gt;0), 11, "")</f>
        <v/>
      </c>
      <c r="B15" s="34"/>
      <c r="C15" s="34"/>
      <c r="D15" s="34"/>
      <c r="E15" s="34"/>
      <c r="F15" s="34"/>
      <c r="G15" s="34"/>
      <c r="H15" s="34"/>
    </row>
    <row r="16" spans="1:8" x14ac:dyDescent="0.25">
      <c r="A16" s="46" t="str">
        <f>IF(OR(B16&lt;&gt;0, C16&lt;&gt;0, D16&lt;&gt;0, E16&lt;&gt;0, F16&lt;&gt;0, G16&lt;&gt;0, H16&lt;&gt;0), 12, "")</f>
        <v/>
      </c>
      <c r="B16" s="34"/>
      <c r="C16" s="34"/>
      <c r="D16" s="34"/>
      <c r="E16" s="34"/>
      <c r="F16" s="34"/>
      <c r="G16" s="34"/>
      <c r="H16" s="34"/>
    </row>
    <row r="17" spans="1:8" x14ac:dyDescent="0.25">
      <c r="A17" s="46" t="str">
        <f>IF(OR(B17&lt;&gt;0, C17&lt;&gt;0, D17&lt;&gt;0, E17&lt;&gt;0, F17&lt;&gt;0, G17&lt;&gt;0, H17&lt;&gt;0), 13, "")</f>
        <v/>
      </c>
      <c r="B17" s="34"/>
      <c r="C17" s="34"/>
      <c r="D17" s="34"/>
      <c r="E17" s="34"/>
      <c r="F17" s="34"/>
      <c r="G17" s="34"/>
      <c r="H17" s="34"/>
    </row>
    <row r="18" spans="1:8" x14ac:dyDescent="0.25">
      <c r="A18" s="46" t="str">
        <f>IF(OR(B18&lt;&gt;0, C18&lt;&gt;0, D18&lt;&gt;0, E18&lt;&gt;0, F18&lt;&gt;0, G18&lt;&gt;0, H18&lt;&gt;0), 14, "")</f>
        <v/>
      </c>
      <c r="B18" s="34"/>
      <c r="C18" s="34"/>
      <c r="D18" s="34"/>
      <c r="E18" s="34"/>
      <c r="F18" s="34"/>
      <c r="G18" s="34"/>
      <c r="H18" s="34"/>
    </row>
    <row r="19" spans="1:8" x14ac:dyDescent="0.25">
      <c r="A19" s="46" t="str">
        <f>IF(OR(B19&lt;&gt;0, C19&lt;&gt;0, D19&lt;&gt;0, E19&lt;&gt;0, F19&lt;&gt;0, G19&lt;&gt;0, H19&lt;&gt;0), 15, "")</f>
        <v/>
      </c>
      <c r="B19" s="34"/>
      <c r="C19" s="34"/>
      <c r="D19" s="34"/>
      <c r="E19" s="34"/>
      <c r="F19" s="34"/>
      <c r="G19" s="34"/>
      <c r="H19" s="34"/>
    </row>
  </sheetData>
  <sheetProtection selectLockedCells="1"/>
  <mergeCells count="6">
    <mergeCell ref="A1:H1"/>
    <mergeCell ref="A3:A4"/>
    <mergeCell ref="B3:B4"/>
    <mergeCell ref="C3:C4"/>
    <mergeCell ref="D3:D4"/>
    <mergeCell ref="E3:H3"/>
  </mergeCells>
  <conditionalFormatting sqref="E5:H19 B5:C19">
    <cfRule type="cellIs" dxfId="8" priority="3" operator="greaterThan">
      <formula>0</formula>
    </cfRule>
  </conditionalFormatting>
  <conditionalFormatting sqref="D5:D19">
    <cfRule type="cellIs" dxfId="7" priority="2" operator="between">
      <formula>0.001</formula>
      <formula>9999999</formula>
    </cfRule>
  </conditionalFormatting>
  <conditionalFormatting sqref="A5:A19">
    <cfRule type="cellIs" dxfId="6" priority="1" operator="between">
      <formula>0</formula>
      <formula>15</formula>
    </cfRule>
  </conditionalFormatting>
  <dataValidations count="2">
    <dataValidation type="decimal" allowBlank="1" showInputMessage="1" showErrorMessage="1" sqref="D5:G19">
      <formula1>0</formula1>
      <formula2>10000</formula2>
    </dataValidation>
    <dataValidation type="whole" allowBlank="1" showInputMessage="1" showErrorMessage="1" sqref="C5:C19">
      <formula1>1</formula1>
      <formula2>9999</formula2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ignoredErrors>
    <ignoredError sqref="A6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WhiteSpace="0" view="pageLayout" workbookViewId="0">
      <selection activeCell="B26" sqref="B26"/>
    </sheetView>
  </sheetViews>
  <sheetFormatPr defaultRowHeight="15" x14ac:dyDescent="0.25"/>
  <cols>
    <col min="1" max="1" width="27.85546875" style="1" customWidth="1"/>
    <col min="2" max="2" width="14.5703125" style="1" customWidth="1"/>
    <col min="3" max="3" width="15.85546875" style="1" customWidth="1"/>
    <col min="4" max="5" width="14.5703125" style="1" customWidth="1"/>
    <col min="6" max="16384" width="9.140625" style="1"/>
  </cols>
  <sheetData>
    <row r="1" spans="1:5" ht="15.75" x14ac:dyDescent="0.25">
      <c r="A1" s="179" t="s">
        <v>367</v>
      </c>
      <c r="B1" s="179"/>
      <c r="C1" s="179"/>
      <c r="D1" s="179"/>
      <c r="E1" s="179"/>
    </row>
    <row r="3" spans="1:5" ht="45" customHeight="1" x14ac:dyDescent="0.25">
      <c r="A3" s="199" t="s">
        <v>173</v>
      </c>
      <c r="B3" s="199" t="s">
        <v>178</v>
      </c>
      <c r="C3" s="199"/>
      <c r="D3" s="199" t="s">
        <v>176</v>
      </c>
      <c r="E3" s="199" t="s">
        <v>177</v>
      </c>
    </row>
    <row r="4" spans="1:5" ht="60" customHeight="1" x14ac:dyDescent="0.25">
      <c r="A4" s="199"/>
      <c r="B4" s="52" t="s">
        <v>174</v>
      </c>
      <c r="C4" s="52" t="s">
        <v>175</v>
      </c>
      <c r="D4" s="199"/>
      <c r="E4" s="199"/>
    </row>
    <row r="5" spans="1:5" x14ac:dyDescent="0.25">
      <c r="A5" s="39" t="s">
        <v>179</v>
      </c>
      <c r="B5" s="38">
        <v>2</v>
      </c>
      <c r="C5" s="38">
        <v>0</v>
      </c>
      <c r="D5" s="38">
        <v>0</v>
      </c>
      <c r="E5" s="42">
        <f>IF((B5+C5)&gt;0, D5*100/(B5+C5), B5+C5)</f>
        <v>0</v>
      </c>
    </row>
    <row r="6" spans="1:5" x14ac:dyDescent="0.25">
      <c r="A6" s="39" t="s">
        <v>180</v>
      </c>
      <c r="B6" s="38">
        <v>18</v>
      </c>
      <c r="C6" s="38">
        <v>0</v>
      </c>
      <c r="D6" s="38">
        <v>4</v>
      </c>
      <c r="E6" s="42">
        <f t="shared" ref="E6:E33" si="0">IF((B6+C6)&gt;0, D6*100/(B6+C6), B6+C6)</f>
        <v>22.222222222222221</v>
      </c>
    </row>
    <row r="7" spans="1:5" x14ac:dyDescent="0.25">
      <c r="A7" s="39" t="s">
        <v>181</v>
      </c>
      <c r="B7" s="38">
        <v>8</v>
      </c>
      <c r="C7" s="38">
        <v>0</v>
      </c>
      <c r="D7" s="38">
        <v>0</v>
      </c>
      <c r="E7" s="42">
        <f t="shared" si="0"/>
        <v>0</v>
      </c>
    </row>
    <row r="8" spans="1:5" x14ac:dyDescent="0.25">
      <c r="A8" s="39" t="s">
        <v>182</v>
      </c>
      <c r="B8" s="38">
        <v>0</v>
      </c>
      <c r="C8" s="38">
        <v>0</v>
      </c>
      <c r="D8" s="38">
        <v>0</v>
      </c>
      <c r="E8" s="42">
        <f t="shared" si="0"/>
        <v>0</v>
      </c>
    </row>
    <row r="9" spans="1:5" x14ac:dyDescent="0.25">
      <c r="A9" s="39" t="s">
        <v>183</v>
      </c>
      <c r="B9" s="38">
        <v>0</v>
      </c>
      <c r="C9" s="38">
        <v>0</v>
      </c>
      <c r="D9" s="38">
        <v>0</v>
      </c>
      <c r="E9" s="42">
        <f t="shared" si="0"/>
        <v>0</v>
      </c>
    </row>
    <row r="10" spans="1:5" x14ac:dyDescent="0.25">
      <c r="A10" s="39" t="s">
        <v>184</v>
      </c>
      <c r="B10" s="38">
        <v>0</v>
      </c>
      <c r="C10" s="38">
        <v>0</v>
      </c>
      <c r="D10" s="38">
        <v>0</v>
      </c>
      <c r="E10" s="42">
        <f t="shared" si="0"/>
        <v>0</v>
      </c>
    </row>
    <row r="11" spans="1:5" x14ac:dyDescent="0.25">
      <c r="A11" s="39" t="s">
        <v>185</v>
      </c>
      <c r="B11" s="38">
        <v>0</v>
      </c>
      <c r="C11" s="38">
        <v>0</v>
      </c>
      <c r="D11" s="38">
        <v>0</v>
      </c>
      <c r="E11" s="42">
        <f t="shared" si="0"/>
        <v>0</v>
      </c>
    </row>
    <row r="12" spans="1:5" x14ac:dyDescent="0.25">
      <c r="A12" s="39" t="s">
        <v>186</v>
      </c>
      <c r="B12" s="38">
        <v>0</v>
      </c>
      <c r="C12" s="38">
        <v>0</v>
      </c>
      <c r="D12" s="38">
        <v>0</v>
      </c>
      <c r="E12" s="42">
        <f t="shared" si="0"/>
        <v>0</v>
      </c>
    </row>
    <row r="13" spans="1:5" x14ac:dyDescent="0.25">
      <c r="A13" s="39" t="s">
        <v>187</v>
      </c>
      <c r="B13" s="38">
        <v>0</v>
      </c>
      <c r="C13" s="38">
        <v>0</v>
      </c>
      <c r="D13" s="38">
        <v>0</v>
      </c>
      <c r="E13" s="42">
        <f t="shared" si="0"/>
        <v>0</v>
      </c>
    </row>
    <row r="14" spans="1:5" x14ac:dyDescent="0.25">
      <c r="A14" s="39" t="s">
        <v>188</v>
      </c>
      <c r="B14" s="38">
        <v>0</v>
      </c>
      <c r="C14" s="38">
        <v>0</v>
      </c>
      <c r="D14" s="38">
        <v>0</v>
      </c>
      <c r="E14" s="42">
        <f t="shared" si="0"/>
        <v>0</v>
      </c>
    </row>
    <row r="15" spans="1:5" x14ac:dyDescent="0.25">
      <c r="A15" s="39" t="s">
        <v>189</v>
      </c>
      <c r="B15" s="38">
        <v>0</v>
      </c>
      <c r="C15" s="38">
        <v>0</v>
      </c>
      <c r="D15" s="38">
        <v>0</v>
      </c>
      <c r="E15" s="42">
        <f t="shared" si="0"/>
        <v>0</v>
      </c>
    </row>
    <row r="16" spans="1:5" x14ac:dyDescent="0.25">
      <c r="A16" s="39" t="s">
        <v>190</v>
      </c>
      <c r="B16" s="38">
        <v>1</v>
      </c>
      <c r="C16" s="38">
        <v>0</v>
      </c>
      <c r="D16" s="38">
        <v>0</v>
      </c>
      <c r="E16" s="42">
        <f t="shared" si="0"/>
        <v>0</v>
      </c>
    </row>
    <row r="17" spans="1:5" x14ac:dyDescent="0.25">
      <c r="A17" s="39" t="s">
        <v>191</v>
      </c>
      <c r="B17" s="38">
        <v>0</v>
      </c>
      <c r="C17" s="38">
        <v>0</v>
      </c>
      <c r="D17" s="38">
        <v>0</v>
      </c>
      <c r="E17" s="42">
        <f t="shared" si="0"/>
        <v>0</v>
      </c>
    </row>
    <row r="18" spans="1:5" x14ac:dyDescent="0.25">
      <c r="A18" s="39" t="s">
        <v>192</v>
      </c>
      <c r="B18" s="38">
        <v>0</v>
      </c>
      <c r="C18" s="38">
        <v>0</v>
      </c>
      <c r="D18" s="38">
        <v>0</v>
      </c>
      <c r="E18" s="42">
        <f t="shared" si="0"/>
        <v>0</v>
      </c>
    </row>
    <row r="19" spans="1:5" x14ac:dyDescent="0.25">
      <c r="A19" s="39" t="s">
        <v>193</v>
      </c>
      <c r="B19" s="38">
        <v>0</v>
      </c>
      <c r="C19" s="38">
        <v>0</v>
      </c>
      <c r="D19" s="38">
        <v>0</v>
      </c>
      <c r="E19" s="42">
        <f t="shared" si="0"/>
        <v>0</v>
      </c>
    </row>
    <row r="20" spans="1:5" x14ac:dyDescent="0.25">
      <c r="A20" s="39" t="s">
        <v>194</v>
      </c>
      <c r="B20" s="38">
        <v>0</v>
      </c>
      <c r="C20" s="38">
        <v>0</v>
      </c>
      <c r="D20" s="38">
        <v>0</v>
      </c>
      <c r="E20" s="42">
        <f t="shared" si="0"/>
        <v>0</v>
      </c>
    </row>
    <row r="21" spans="1:5" x14ac:dyDescent="0.25">
      <c r="A21" s="39" t="s">
        <v>195</v>
      </c>
      <c r="B21" s="38">
        <v>2</v>
      </c>
      <c r="C21" s="38">
        <v>0</v>
      </c>
      <c r="D21" s="38">
        <v>0</v>
      </c>
      <c r="E21" s="42">
        <f t="shared" si="0"/>
        <v>0</v>
      </c>
    </row>
    <row r="22" spans="1:5" ht="30" x14ac:dyDescent="0.25">
      <c r="A22" s="43" t="s">
        <v>202</v>
      </c>
      <c r="B22" s="38">
        <v>16</v>
      </c>
      <c r="C22" s="38">
        <v>0</v>
      </c>
      <c r="D22" s="38">
        <v>0</v>
      </c>
      <c r="E22" s="42">
        <f t="shared" si="0"/>
        <v>0</v>
      </c>
    </row>
    <row r="23" spans="1:5" x14ac:dyDescent="0.25">
      <c r="A23" s="39" t="s">
        <v>196</v>
      </c>
      <c r="B23" s="38">
        <v>21</v>
      </c>
      <c r="C23" s="38">
        <v>0</v>
      </c>
      <c r="D23" s="38">
        <v>4</v>
      </c>
      <c r="E23" s="42">
        <f t="shared" si="0"/>
        <v>19.047619047619047</v>
      </c>
    </row>
    <row r="24" spans="1:5" x14ac:dyDescent="0.25">
      <c r="A24" s="39" t="s">
        <v>197</v>
      </c>
      <c r="B24" s="38">
        <v>10</v>
      </c>
      <c r="C24" s="38">
        <v>0</v>
      </c>
      <c r="D24" s="38">
        <v>1</v>
      </c>
      <c r="E24" s="42">
        <f t="shared" si="0"/>
        <v>10</v>
      </c>
    </row>
    <row r="25" spans="1:5" x14ac:dyDescent="0.25">
      <c r="A25" s="39" t="s">
        <v>198</v>
      </c>
      <c r="B25" s="38">
        <v>24</v>
      </c>
      <c r="C25" s="38">
        <v>0</v>
      </c>
      <c r="D25" s="38">
        <v>0</v>
      </c>
      <c r="E25" s="42">
        <f t="shared" si="0"/>
        <v>0</v>
      </c>
    </row>
    <row r="26" spans="1:5" x14ac:dyDescent="0.25">
      <c r="A26" s="39" t="s">
        <v>199</v>
      </c>
      <c r="B26" s="38">
        <v>6</v>
      </c>
      <c r="C26" s="38">
        <v>0</v>
      </c>
      <c r="D26" s="38">
        <v>0</v>
      </c>
      <c r="E26" s="42">
        <f t="shared" si="0"/>
        <v>0</v>
      </c>
    </row>
    <row r="27" spans="1:5" x14ac:dyDescent="0.25">
      <c r="A27" s="39" t="s">
        <v>200</v>
      </c>
      <c r="B27" s="38">
        <v>0</v>
      </c>
      <c r="C27" s="38">
        <v>0</v>
      </c>
      <c r="D27" s="38">
        <v>0</v>
      </c>
      <c r="E27" s="42">
        <f t="shared" si="0"/>
        <v>0</v>
      </c>
    </row>
    <row r="28" spans="1:5" x14ac:dyDescent="0.25">
      <c r="A28" s="39" t="s">
        <v>201</v>
      </c>
      <c r="B28" s="38"/>
      <c r="C28" s="38"/>
      <c r="D28" s="38"/>
      <c r="E28" s="42">
        <f t="shared" si="0"/>
        <v>0</v>
      </c>
    </row>
    <row r="29" spans="1:5" x14ac:dyDescent="0.25">
      <c r="A29" s="39" t="s">
        <v>362</v>
      </c>
      <c r="B29" s="121">
        <f>B30+B31+B32</f>
        <v>0</v>
      </c>
      <c r="C29" s="121">
        <f>C30+C31+C32</f>
        <v>0</v>
      </c>
      <c r="D29" s="121">
        <f>D30+D31+D32</f>
        <v>0</v>
      </c>
      <c r="E29" s="42">
        <f t="shared" si="0"/>
        <v>0</v>
      </c>
    </row>
    <row r="30" spans="1:5" x14ac:dyDescent="0.25">
      <c r="A30" s="137" t="s">
        <v>333</v>
      </c>
      <c r="B30" s="132"/>
      <c r="C30" s="132"/>
      <c r="D30" s="132"/>
      <c r="E30" s="42">
        <f t="shared" si="0"/>
        <v>0</v>
      </c>
    </row>
    <row r="31" spans="1:5" x14ac:dyDescent="0.25">
      <c r="A31" s="137" t="s">
        <v>333</v>
      </c>
      <c r="B31" s="132"/>
      <c r="C31" s="132"/>
      <c r="D31" s="132"/>
      <c r="E31" s="42">
        <f t="shared" si="0"/>
        <v>0</v>
      </c>
    </row>
    <row r="32" spans="1:5" x14ac:dyDescent="0.25">
      <c r="A32" s="137" t="s">
        <v>333</v>
      </c>
      <c r="B32" s="132"/>
      <c r="C32" s="132"/>
      <c r="D32" s="132"/>
      <c r="E32" s="42">
        <f t="shared" si="0"/>
        <v>0</v>
      </c>
    </row>
    <row r="33" spans="1:5" x14ac:dyDescent="0.25">
      <c r="A33" s="49" t="s">
        <v>203</v>
      </c>
      <c r="B33" s="123">
        <f>SUM(B5:B29)</f>
        <v>108</v>
      </c>
      <c r="C33" s="123">
        <f t="shared" ref="C33:D33" si="1">SUM(C5:C29)</f>
        <v>0</v>
      </c>
      <c r="D33" s="123">
        <f t="shared" si="1"/>
        <v>9</v>
      </c>
      <c r="E33" s="125">
        <f t="shared" si="0"/>
        <v>8.3333333333333339</v>
      </c>
    </row>
  </sheetData>
  <sheetProtection password="CC43" sheet="1" objects="1" scenarios="1" selectLockedCells="1"/>
  <mergeCells count="5">
    <mergeCell ref="A3:A4"/>
    <mergeCell ref="B3:C3"/>
    <mergeCell ref="D3:D4"/>
    <mergeCell ref="E3:E4"/>
    <mergeCell ref="A1:E1"/>
  </mergeCells>
  <dataValidations count="1">
    <dataValidation type="whole" allowBlank="1" showInputMessage="1" showErrorMessage="1" sqref="B5:D32">
      <formula1>0</formula1>
      <formula2>100</formula2>
    </dataValidation>
  </dataValidations>
  <pageMargins left="0.7" right="0.7" top="0.75" bottom="0.75" header="0.3" footer="0.3"/>
  <pageSetup paperSize="9" orientation="portrait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ignoredErrors>
    <ignoredError sqref="B29:D29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showWhiteSpace="0" view="pageLayout" workbookViewId="0">
      <selection activeCell="A20" sqref="A20:E20"/>
    </sheetView>
  </sheetViews>
  <sheetFormatPr defaultRowHeight="15" x14ac:dyDescent="0.25"/>
  <cols>
    <col min="1" max="1" width="11.7109375" style="1" customWidth="1"/>
    <col min="2" max="4" width="9.140625" style="1"/>
    <col min="5" max="8" width="9.7109375" style="1" customWidth="1"/>
    <col min="9" max="9" width="9.28515625" style="1" customWidth="1"/>
    <col min="10" max="16384" width="9.140625" style="1"/>
  </cols>
  <sheetData>
    <row r="1" spans="1:9" ht="15.75" x14ac:dyDescent="0.25">
      <c r="A1" s="179" t="s">
        <v>272</v>
      </c>
      <c r="B1" s="179"/>
      <c r="C1" s="179"/>
      <c r="D1" s="179"/>
      <c r="E1" s="179"/>
      <c r="F1" s="179"/>
      <c r="G1" s="179"/>
      <c r="H1" s="179"/>
      <c r="I1" s="179"/>
    </row>
    <row r="2" spans="1:9" ht="15.75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ht="15.75" x14ac:dyDescent="0.25">
      <c r="A3" s="238" t="s">
        <v>214</v>
      </c>
      <c r="B3" s="238"/>
      <c r="C3" s="238"/>
      <c r="D3" s="238"/>
      <c r="E3" s="238"/>
      <c r="F3" s="238"/>
      <c r="G3" s="238"/>
      <c r="H3" s="139">
        <v>1</v>
      </c>
      <c r="I3" s="44"/>
    </row>
    <row r="4" spans="1:9" ht="15.75" x14ac:dyDescent="0.25">
      <c r="A4" s="238" t="s">
        <v>215</v>
      </c>
      <c r="B4" s="238"/>
      <c r="C4" s="238"/>
      <c r="D4" s="238"/>
      <c r="E4" s="238"/>
      <c r="F4" s="238"/>
      <c r="G4" s="238"/>
      <c r="H4" s="139">
        <v>1</v>
      </c>
      <c r="I4" s="44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238" t="s">
        <v>211</v>
      </c>
      <c r="B6" s="238"/>
      <c r="C6" s="238"/>
      <c r="D6" s="238"/>
      <c r="E6" s="250" t="s">
        <v>391</v>
      </c>
      <c r="F6" s="250"/>
      <c r="G6" s="250"/>
      <c r="H6" s="250"/>
      <c r="I6" s="250"/>
    </row>
    <row r="7" spans="1:9" x14ac:dyDescent="0.25">
      <c r="A7" s="238" t="s">
        <v>375</v>
      </c>
      <c r="B7" s="238"/>
      <c r="C7" s="238"/>
      <c r="D7" s="3"/>
      <c r="E7" s="3"/>
      <c r="F7" s="238" t="s">
        <v>376</v>
      </c>
      <c r="G7" s="238"/>
      <c r="H7" s="238"/>
      <c r="I7" s="3"/>
    </row>
    <row r="8" spans="1:9" x14ac:dyDescent="0.25">
      <c r="A8" s="238" t="s">
        <v>212</v>
      </c>
      <c r="B8" s="238"/>
      <c r="C8" s="238"/>
      <c r="D8" s="127">
        <v>13</v>
      </c>
      <c r="E8" s="3"/>
      <c r="F8" s="238" t="s">
        <v>212</v>
      </c>
      <c r="G8" s="238"/>
      <c r="H8" s="238"/>
      <c r="I8" s="127">
        <v>20</v>
      </c>
    </row>
    <row r="9" spans="1:9" x14ac:dyDescent="0.25">
      <c r="A9" s="238" t="s">
        <v>213</v>
      </c>
      <c r="B9" s="238"/>
      <c r="C9" s="238"/>
      <c r="D9" s="124">
        <v>944</v>
      </c>
      <c r="E9" s="3"/>
      <c r="F9" s="238" t="s">
        <v>213</v>
      </c>
      <c r="G9" s="238"/>
      <c r="H9" s="238"/>
      <c r="I9" s="127">
        <v>951</v>
      </c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ht="30" customHeight="1" x14ac:dyDescent="0.25">
      <c r="A11" s="185"/>
      <c r="B11" s="185"/>
      <c r="C11" s="185"/>
      <c r="D11" s="185"/>
      <c r="E11" s="185"/>
      <c r="F11" s="199" t="s">
        <v>369</v>
      </c>
      <c r="G11" s="199"/>
      <c r="H11" s="199" t="s">
        <v>368</v>
      </c>
      <c r="I11" s="199"/>
    </row>
    <row r="12" spans="1:9" x14ac:dyDescent="0.25">
      <c r="A12" s="185"/>
      <c r="B12" s="185"/>
      <c r="C12" s="185"/>
      <c r="D12" s="185"/>
      <c r="E12" s="185"/>
      <c r="F12" s="126">
        <v>43830</v>
      </c>
      <c r="G12" s="126">
        <v>43616</v>
      </c>
      <c r="H12" s="126">
        <v>43830</v>
      </c>
      <c r="I12" s="126">
        <v>43616</v>
      </c>
    </row>
    <row r="13" spans="1:9" x14ac:dyDescent="0.25">
      <c r="A13" s="254" t="s">
        <v>370</v>
      </c>
      <c r="B13" s="255"/>
      <c r="C13" s="255"/>
      <c r="D13" s="255"/>
      <c r="E13" s="256"/>
      <c r="F13" s="257">
        <v>61</v>
      </c>
      <c r="G13" s="257">
        <v>153</v>
      </c>
      <c r="H13" s="257">
        <v>340</v>
      </c>
      <c r="I13" s="257">
        <v>394</v>
      </c>
    </row>
    <row r="14" spans="1:9" x14ac:dyDescent="0.25">
      <c r="A14" s="251" t="s">
        <v>392</v>
      </c>
      <c r="B14" s="252"/>
      <c r="C14" s="252"/>
      <c r="D14" s="252"/>
      <c r="E14" s="253"/>
      <c r="F14" s="257"/>
      <c r="G14" s="257"/>
      <c r="H14" s="257"/>
      <c r="I14" s="257"/>
    </row>
    <row r="15" spans="1:9" x14ac:dyDescent="0.25">
      <c r="A15" s="254" t="s">
        <v>371</v>
      </c>
      <c r="B15" s="255"/>
      <c r="C15" s="255"/>
      <c r="D15" s="255"/>
      <c r="E15" s="256"/>
      <c r="F15" s="257">
        <v>44</v>
      </c>
      <c r="G15" s="257">
        <v>141</v>
      </c>
      <c r="H15" s="257">
        <v>58</v>
      </c>
      <c r="I15" s="257">
        <v>84</v>
      </c>
    </row>
    <row r="16" spans="1:9" x14ac:dyDescent="0.25">
      <c r="A16" s="251" t="s">
        <v>393</v>
      </c>
      <c r="B16" s="252"/>
      <c r="C16" s="252"/>
      <c r="D16" s="252"/>
      <c r="E16" s="253"/>
      <c r="F16" s="257"/>
      <c r="G16" s="257"/>
      <c r="H16" s="257"/>
      <c r="I16" s="257"/>
    </row>
    <row r="17" spans="1:9" x14ac:dyDescent="0.25">
      <c r="A17" s="254" t="s">
        <v>372</v>
      </c>
      <c r="B17" s="255"/>
      <c r="C17" s="255"/>
      <c r="D17" s="255"/>
      <c r="E17" s="256"/>
      <c r="F17" s="257">
        <v>50</v>
      </c>
      <c r="G17" s="261">
        <v>118</v>
      </c>
      <c r="H17" s="257">
        <v>32</v>
      </c>
      <c r="I17" s="257">
        <v>37</v>
      </c>
    </row>
    <row r="18" spans="1:9" x14ac:dyDescent="0.25">
      <c r="A18" s="251" t="s">
        <v>394</v>
      </c>
      <c r="B18" s="252"/>
      <c r="C18" s="252"/>
      <c r="D18" s="252"/>
      <c r="E18" s="253"/>
      <c r="F18" s="257"/>
      <c r="G18" s="262"/>
      <c r="H18" s="257"/>
      <c r="I18" s="257"/>
    </row>
    <row r="19" spans="1:9" x14ac:dyDescent="0.25">
      <c r="A19" s="254" t="s">
        <v>373</v>
      </c>
      <c r="B19" s="255"/>
      <c r="C19" s="255"/>
      <c r="D19" s="255"/>
      <c r="E19" s="256"/>
      <c r="F19" s="257">
        <v>40</v>
      </c>
      <c r="G19" s="257">
        <v>98</v>
      </c>
      <c r="H19" s="257">
        <v>77</v>
      </c>
      <c r="I19" s="257">
        <v>136</v>
      </c>
    </row>
    <row r="20" spans="1:9" x14ac:dyDescent="0.25">
      <c r="A20" s="258" t="s">
        <v>511</v>
      </c>
      <c r="B20" s="259"/>
      <c r="C20" s="259"/>
      <c r="D20" s="259"/>
      <c r="E20" s="260"/>
      <c r="F20" s="257"/>
      <c r="G20" s="257"/>
      <c r="H20" s="257"/>
      <c r="I20" s="257"/>
    </row>
    <row r="21" spans="1:9" x14ac:dyDescent="0.25">
      <c r="A21" s="254" t="s">
        <v>374</v>
      </c>
      <c r="B21" s="255"/>
      <c r="C21" s="255"/>
      <c r="D21" s="255"/>
      <c r="E21" s="256"/>
      <c r="F21" s="257"/>
      <c r="G21" s="257"/>
      <c r="H21" s="257"/>
      <c r="I21" s="257"/>
    </row>
    <row r="22" spans="1:9" x14ac:dyDescent="0.25">
      <c r="A22" s="258"/>
      <c r="B22" s="259"/>
      <c r="C22" s="259"/>
      <c r="D22" s="259"/>
      <c r="E22" s="260"/>
      <c r="F22" s="257"/>
      <c r="G22" s="257"/>
      <c r="H22" s="257"/>
      <c r="I22" s="257"/>
    </row>
  </sheetData>
  <sheetProtection password="CC43" sheet="1" objects="1" scenarios="1"/>
  <mergeCells count="44">
    <mergeCell ref="H15:H16"/>
    <mergeCell ref="I15:I16"/>
    <mergeCell ref="F17:F18"/>
    <mergeCell ref="G17:G18"/>
    <mergeCell ref="H17:H18"/>
    <mergeCell ref="I17:I18"/>
    <mergeCell ref="H19:H20"/>
    <mergeCell ref="I19:I20"/>
    <mergeCell ref="F21:F22"/>
    <mergeCell ref="G21:G22"/>
    <mergeCell ref="H21:H22"/>
    <mergeCell ref="I21:I22"/>
    <mergeCell ref="A22:E22"/>
    <mergeCell ref="A18:E18"/>
    <mergeCell ref="A16:E16"/>
    <mergeCell ref="F13:F14"/>
    <mergeCell ref="G13:G14"/>
    <mergeCell ref="F15:F16"/>
    <mergeCell ref="G15:G16"/>
    <mergeCell ref="F19:F20"/>
    <mergeCell ref="G19:G20"/>
    <mergeCell ref="A15:E15"/>
    <mergeCell ref="A17:E17"/>
    <mergeCell ref="A19:E19"/>
    <mergeCell ref="A20:E20"/>
    <mergeCell ref="A21:E21"/>
    <mergeCell ref="A11:E12"/>
    <mergeCell ref="A14:E14"/>
    <mergeCell ref="A13:E13"/>
    <mergeCell ref="H13:H14"/>
    <mergeCell ref="I13:I14"/>
    <mergeCell ref="F11:G11"/>
    <mergeCell ref="H11:I11"/>
    <mergeCell ref="A1:I1"/>
    <mergeCell ref="A6:D6"/>
    <mergeCell ref="A7:C7"/>
    <mergeCell ref="A9:C9"/>
    <mergeCell ref="A4:G4"/>
    <mergeCell ref="A3:G3"/>
    <mergeCell ref="A8:C8"/>
    <mergeCell ref="F7:H7"/>
    <mergeCell ref="F8:H8"/>
    <mergeCell ref="E6:I6"/>
    <mergeCell ref="F9:H9"/>
  </mergeCells>
  <dataValidations count="2">
    <dataValidation type="whole" allowBlank="1" showInputMessage="1" showErrorMessage="1" sqref="H3:H4">
      <formula1>0</formula1>
      <formula2>1</formula2>
    </dataValidation>
    <dataValidation type="whole" allowBlank="1" showInputMessage="1" showErrorMessage="1" sqref="D9">
      <formula1>0</formula1>
      <formula2>100000</formula2>
    </dataValidation>
  </dataValidations>
  <hyperlinks>
    <hyperlink ref="E6:I6" r:id="rId1" display="http://яр-дши10.рф/"/>
    <hyperlink ref="A14:E14" r:id="rId2" display="https://vk.com/club135423836"/>
    <hyperlink ref="A16:E16" r:id="rId3" display="https://www.facebook.com/groups/shkola.iskusstv10/"/>
    <hyperlink ref="A18:E18" r:id="rId4" display="https://ok.ru/group/55780035788821"/>
  </hyperlinks>
  <pageMargins left="0.7" right="0.7" top="0.75" bottom="0.75" header="0.3" footer="0.3"/>
  <pageSetup paperSize="9" orientation="portrait" r:id="rId5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6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showWhiteSpace="0" view="pageLayout" workbookViewId="0">
      <selection activeCell="A3" sqref="A3"/>
    </sheetView>
  </sheetViews>
  <sheetFormatPr defaultRowHeight="15" x14ac:dyDescent="0.25"/>
  <cols>
    <col min="1" max="1" width="5" style="1" customWidth="1"/>
    <col min="2" max="2" width="48.5703125" style="1" customWidth="1"/>
    <col min="3" max="3" width="48.42578125" style="1" customWidth="1"/>
    <col min="4" max="4" width="15.7109375" style="1" customWidth="1"/>
    <col min="5" max="5" width="13.42578125" style="1" customWidth="1"/>
    <col min="6" max="16384" width="9.140625" style="1"/>
  </cols>
  <sheetData>
    <row r="1" spans="1:5" ht="15.75" x14ac:dyDescent="0.25">
      <c r="A1" s="179" t="s">
        <v>273</v>
      </c>
      <c r="B1" s="179"/>
      <c r="C1" s="179"/>
      <c r="D1" s="179"/>
      <c r="E1" s="179"/>
    </row>
    <row r="3" spans="1:5" ht="30" customHeight="1" x14ac:dyDescent="0.25">
      <c r="A3" s="52" t="s">
        <v>147</v>
      </c>
      <c r="B3" s="52" t="s">
        <v>241</v>
      </c>
      <c r="C3" s="52" t="s">
        <v>242</v>
      </c>
      <c r="D3" s="52" t="s">
        <v>243</v>
      </c>
      <c r="E3" s="52" t="s">
        <v>244</v>
      </c>
    </row>
    <row r="4" spans="1:5" x14ac:dyDescent="0.25">
      <c r="A4" s="51" t="str">
        <f>IF(OR(B4&lt;&gt;0, C4&lt;&gt;0, D4&lt;&gt;0, E4&lt;&gt;0), 1, "")</f>
        <v/>
      </c>
      <c r="B4" s="35"/>
      <c r="C4" s="35"/>
      <c r="D4" s="34"/>
      <c r="E4" s="34"/>
    </row>
    <row r="5" spans="1:5" x14ac:dyDescent="0.25">
      <c r="A5" s="51" t="str">
        <f>IF(OR(B5&lt;&gt;0, C5&lt;&gt;0, D5&lt;&gt;0, E5&lt;&gt;0), 2, "")</f>
        <v/>
      </c>
      <c r="B5" s="35"/>
      <c r="C5" s="35"/>
      <c r="D5" s="34"/>
      <c r="E5" s="34"/>
    </row>
    <row r="6" spans="1:5" x14ac:dyDescent="0.25">
      <c r="A6" s="51" t="str">
        <f>IF(OR(B6&lt;&gt;0, C6&lt;&gt;0, D6&lt;&gt;0, E6&lt;&gt;0), 3, "")</f>
        <v/>
      </c>
      <c r="B6" s="35"/>
      <c r="C6" s="35"/>
      <c r="D6" s="34"/>
      <c r="E6" s="34"/>
    </row>
    <row r="7" spans="1:5" x14ac:dyDescent="0.25">
      <c r="A7" s="51" t="str">
        <f>IF(OR(B7&lt;&gt;0, C7&lt;&gt;0, D7&lt;&gt;0, E7&lt;&gt;0), 4, "")</f>
        <v/>
      </c>
      <c r="B7" s="35"/>
      <c r="C7" s="35"/>
      <c r="D7" s="34"/>
      <c r="E7" s="34"/>
    </row>
    <row r="8" spans="1:5" x14ac:dyDescent="0.25">
      <c r="A8" s="51" t="str">
        <f>IF(OR(B8&lt;&gt;0, C8&lt;&gt;0, D8&lt;&gt;0, E8&lt;&gt;0), 5, "")</f>
        <v/>
      </c>
      <c r="B8" s="35"/>
      <c r="C8" s="35"/>
      <c r="D8" s="34"/>
      <c r="E8" s="34"/>
    </row>
    <row r="9" spans="1:5" x14ac:dyDescent="0.25">
      <c r="A9" s="51" t="str">
        <f>IF(OR(B9&lt;&gt;0, C9&lt;&gt;0, D9&lt;&gt;0, E9&lt;&gt;0), 6, "")</f>
        <v/>
      </c>
      <c r="B9" s="35"/>
      <c r="C9" s="35"/>
      <c r="D9" s="34"/>
      <c r="E9" s="34"/>
    </row>
    <row r="10" spans="1:5" x14ac:dyDescent="0.25">
      <c r="A10" s="51" t="str">
        <f>IF(OR(B10&lt;&gt;0, C10&lt;&gt;0, D10&lt;&gt;0, E10&lt;&gt;0), 7, "")</f>
        <v/>
      </c>
      <c r="B10" s="35"/>
      <c r="C10" s="35"/>
      <c r="D10" s="34"/>
      <c r="E10" s="34"/>
    </row>
    <row r="11" spans="1:5" x14ac:dyDescent="0.25">
      <c r="A11" s="51" t="str">
        <f>IF(OR(B11&lt;&gt;0, C11&lt;&gt;0, D11&lt;&gt;0, E11&lt;&gt;0), 8, "")</f>
        <v/>
      </c>
      <c r="B11" s="35"/>
      <c r="C11" s="35"/>
      <c r="D11" s="34"/>
      <c r="E11" s="34"/>
    </row>
    <row r="12" spans="1:5" x14ac:dyDescent="0.25">
      <c r="A12" s="51" t="str">
        <f>IF(OR(B12&lt;&gt;0, C12&lt;&gt;0, D12&lt;&gt;0, E12&lt;&gt;0), 9, "")</f>
        <v/>
      </c>
      <c r="B12" s="35"/>
      <c r="C12" s="35"/>
      <c r="D12" s="34"/>
      <c r="E12" s="34"/>
    </row>
    <row r="13" spans="1:5" x14ac:dyDescent="0.25">
      <c r="A13" s="51" t="str">
        <f>IF(OR(B13&lt;&gt;0, C13&lt;&gt;0, D13&lt;&gt;0, E13&lt;&gt;0), 10, "")</f>
        <v/>
      </c>
      <c r="B13" s="35"/>
      <c r="C13" s="35"/>
      <c r="D13" s="34"/>
      <c r="E13" s="34"/>
    </row>
    <row r="14" spans="1:5" x14ac:dyDescent="0.25">
      <c r="A14" s="51" t="str">
        <f>IF(OR(B14&lt;&gt;0, C14&lt;&gt;0, D14&lt;&gt;0, E14&lt;&gt;0), 11, "")</f>
        <v/>
      </c>
      <c r="B14" s="35"/>
      <c r="C14" s="35"/>
      <c r="D14" s="34"/>
      <c r="E14" s="34"/>
    </row>
    <row r="15" spans="1:5" x14ac:dyDescent="0.25">
      <c r="A15" s="51" t="str">
        <f>IF(OR(B15&lt;&gt;0, C15&lt;&gt;0, D15&lt;&gt;0, E15&lt;&gt;0), 12, "")</f>
        <v/>
      </c>
      <c r="B15" s="35"/>
      <c r="C15" s="35"/>
      <c r="D15" s="34"/>
      <c r="E15" s="34"/>
    </row>
    <row r="16" spans="1:5" x14ac:dyDescent="0.25">
      <c r="A16" s="51" t="str">
        <f>IF(OR(B16&lt;&gt;0, C16&lt;&gt;0, D16&lt;&gt;0, E16&lt;&gt;0), 13, "")</f>
        <v/>
      </c>
      <c r="B16" s="35"/>
      <c r="C16" s="35"/>
      <c r="D16" s="34"/>
      <c r="E16" s="34"/>
    </row>
    <row r="17" spans="1:5" x14ac:dyDescent="0.25">
      <c r="A17" s="51" t="str">
        <f>IF(OR(B17&lt;&gt;0, C17&lt;&gt;0, D17&lt;&gt;0, E17&lt;&gt;0), 14, "")</f>
        <v/>
      </c>
      <c r="B17" s="35"/>
      <c r="C17" s="35"/>
      <c r="D17" s="34"/>
      <c r="E17" s="34"/>
    </row>
    <row r="18" spans="1:5" x14ac:dyDescent="0.25">
      <c r="A18" s="51" t="str">
        <f>IF(OR(B18&lt;&gt;0, C18&lt;&gt;0, D18&lt;&gt;0, E18&lt;&gt;0), 15, "")</f>
        <v/>
      </c>
      <c r="B18" s="35"/>
      <c r="C18" s="35"/>
      <c r="D18" s="34"/>
      <c r="E18" s="34"/>
    </row>
    <row r="19" spans="1:5" x14ac:dyDescent="0.25">
      <c r="A19" s="51" t="str">
        <f>IF(OR(B19&lt;&gt;0, C19&lt;&gt;0, D19&lt;&gt;0, E19&lt;&gt;0), 16, "")</f>
        <v/>
      </c>
      <c r="B19" s="35"/>
      <c r="C19" s="35"/>
      <c r="D19" s="34"/>
      <c r="E19" s="34"/>
    </row>
    <row r="20" spans="1:5" x14ac:dyDescent="0.25">
      <c r="A20" s="51" t="str">
        <f>IF(OR(B20&lt;&gt;0, C20&lt;&gt;0, D20&lt;&gt;0, E20&lt;&gt;0), 17, "")</f>
        <v/>
      </c>
      <c r="B20" s="35"/>
      <c r="C20" s="35"/>
      <c r="D20" s="34"/>
      <c r="E20" s="34"/>
    </row>
    <row r="21" spans="1:5" x14ac:dyDescent="0.25">
      <c r="A21" s="51" t="str">
        <f>IF(OR(B21&lt;&gt;0, C21&lt;&gt;0, D21&lt;&gt;0, E21&lt;&gt;0), 18, "")</f>
        <v/>
      </c>
      <c r="B21" s="35"/>
      <c r="C21" s="35"/>
      <c r="D21" s="34"/>
      <c r="E21" s="34"/>
    </row>
    <row r="22" spans="1:5" x14ac:dyDescent="0.25">
      <c r="A22" s="51" t="str">
        <f>IF(OR(B22&lt;&gt;0, C22&lt;&gt;0, D22&lt;&gt;0, E22&lt;&gt;0), 19, "")</f>
        <v/>
      </c>
      <c r="B22" s="35"/>
      <c r="C22" s="35"/>
      <c r="D22" s="34"/>
      <c r="E22" s="34"/>
    </row>
    <row r="23" spans="1:5" x14ac:dyDescent="0.25">
      <c r="A23" s="51" t="str">
        <f>IF(OR(B23&lt;&gt;0, C23&lt;&gt;0, D23&lt;&gt;0, E23&lt;&gt;0), 20, "")</f>
        <v/>
      </c>
      <c r="B23" s="35"/>
      <c r="C23" s="35"/>
      <c r="D23" s="34"/>
      <c r="E23" s="34"/>
    </row>
  </sheetData>
  <sheetProtection password="CC43" sheet="1" objects="1" scenarios="1" selectLockedCells="1"/>
  <mergeCells count="1">
    <mergeCell ref="A1:E1"/>
  </mergeCells>
  <conditionalFormatting sqref="A4:A23">
    <cfRule type="cellIs" dxfId="5" priority="2" operator="between">
      <formula>0</formula>
      <formula>20</formula>
    </cfRule>
  </conditionalFormatting>
  <conditionalFormatting sqref="B4:E23">
    <cfRule type="cellIs" dxfId="4" priority="1" operator="greaterThan">
      <formula>0</formula>
    </cfRule>
  </conditionalFormatting>
  <dataValidations count="2">
    <dataValidation type="whole" allowBlank="1" showInputMessage="1" showErrorMessage="1" sqref="E4:E23">
      <formula1>0</formula1>
      <formula2>50</formula2>
    </dataValidation>
    <dataValidation type="list" allowBlank="1" showInputMessage="1" showErrorMessage="1" sqref="D4:D23">
      <formula1>"Международный, Федеральный, Региональный, Муниципальный"</formula1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showWhiteSpace="0" view="pageLayout" workbookViewId="0">
      <selection activeCell="A3" sqref="A3"/>
    </sheetView>
  </sheetViews>
  <sheetFormatPr defaultRowHeight="15" x14ac:dyDescent="0.25"/>
  <cols>
    <col min="1" max="1" width="5.42578125" style="1" customWidth="1"/>
    <col min="2" max="2" width="45.85546875" style="1" customWidth="1"/>
    <col min="3" max="3" width="16.28515625" style="1" customWidth="1"/>
    <col min="4" max="4" width="17.5703125" style="1" customWidth="1"/>
    <col min="5" max="5" width="45.85546875" style="1" customWidth="1"/>
    <col min="6" max="16384" width="9.140625" style="1"/>
  </cols>
  <sheetData>
    <row r="1" spans="1:6" ht="15.75" x14ac:dyDescent="0.25">
      <c r="A1" s="179" t="s">
        <v>274</v>
      </c>
      <c r="B1" s="179"/>
      <c r="C1" s="179"/>
      <c r="D1" s="179"/>
      <c r="E1" s="179"/>
    </row>
    <row r="3" spans="1:6" ht="30" x14ac:dyDescent="0.25">
      <c r="A3" s="52" t="s">
        <v>147</v>
      </c>
      <c r="B3" s="52" t="s">
        <v>245</v>
      </c>
      <c r="C3" s="52" t="s">
        <v>243</v>
      </c>
      <c r="D3" s="52" t="s">
        <v>246</v>
      </c>
      <c r="E3" s="52" t="s">
        <v>247</v>
      </c>
      <c r="F3" s="63"/>
    </row>
    <row r="4" spans="1:6" x14ac:dyDescent="0.25">
      <c r="A4" s="62" t="str">
        <f>IF(OR(B4&lt;&gt;0, C4&lt;&gt;0, D4&lt;&gt;0, E4&lt;&gt;0), 1, "")</f>
        <v/>
      </c>
      <c r="B4" s="35"/>
      <c r="C4" s="34"/>
      <c r="D4" s="34"/>
      <c r="E4" s="35"/>
    </row>
    <row r="5" spans="1:6" x14ac:dyDescent="0.25">
      <c r="A5" s="62" t="str">
        <f>IF(OR(B5&lt;&gt;0, C5&lt;&gt;0, D5&lt;&gt;0, E5&lt;&gt;0), 2, "")</f>
        <v/>
      </c>
      <c r="B5" s="35"/>
      <c r="C5" s="34"/>
      <c r="D5" s="34"/>
      <c r="E5" s="35"/>
    </row>
    <row r="6" spans="1:6" x14ac:dyDescent="0.25">
      <c r="A6" s="62" t="str">
        <f>IF(OR(B6&lt;&gt;0, C6&lt;&gt;0, D6&lt;&gt;0, E6&lt;&gt;0), 3, "")</f>
        <v/>
      </c>
      <c r="B6" s="35"/>
      <c r="C6" s="34"/>
      <c r="D6" s="64"/>
      <c r="E6" s="35"/>
    </row>
    <row r="7" spans="1:6" x14ac:dyDescent="0.25">
      <c r="A7" s="62" t="str">
        <f>IF(OR(B7&lt;&gt;0, C7&lt;&gt;0, D7&lt;&gt;0, E7&lt;&gt;0), 4, "")</f>
        <v/>
      </c>
      <c r="B7" s="35"/>
      <c r="C7" s="34"/>
      <c r="D7" s="34"/>
      <c r="E7" s="35"/>
    </row>
    <row r="8" spans="1:6" x14ac:dyDescent="0.25">
      <c r="A8" s="62" t="str">
        <f>IF(OR(B8&lt;&gt;0, C8&lt;&gt;0, D8&lt;&gt;0, E8&lt;&gt;0), 5, "")</f>
        <v/>
      </c>
      <c r="B8" s="35"/>
      <c r="C8" s="34"/>
      <c r="D8" s="34"/>
      <c r="E8" s="35"/>
    </row>
    <row r="9" spans="1:6" x14ac:dyDescent="0.25">
      <c r="A9" s="62" t="str">
        <f>IF(OR(B9&lt;&gt;0, C9&lt;&gt;0, D9&lt;&gt;0, E9&lt;&gt;0), 6, "")</f>
        <v/>
      </c>
      <c r="B9" s="35"/>
      <c r="C9" s="34"/>
      <c r="D9" s="34"/>
      <c r="E9" s="35"/>
    </row>
    <row r="10" spans="1:6" x14ac:dyDescent="0.25">
      <c r="A10" s="62" t="str">
        <f>IF(OR(B10&lt;&gt;0, C10&lt;&gt;0, D10&lt;&gt;0, E10&lt;&gt;0), 7, "")</f>
        <v/>
      </c>
      <c r="B10" s="35"/>
      <c r="C10" s="34"/>
      <c r="D10" s="34"/>
      <c r="E10" s="35"/>
    </row>
    <row r="11" spans="1:6" x14ac:dyDescent="0.25">
      <c r="A11" s="62" t="str">
        <f>IF(OR(B11&lt;&gt;0, C11&lt;&gt;0, D11&lt;&gt;0, E11&lt;&gt;0), 8, "")</f>
        <v/>
      </c>
      <c r="B11" s="35"/>
      <c r="C11" s="34"/>
      <c r="D11" s="34"/>
      <c r="E11" s="35"/>
    </row>
    <row r="12" spans="1:6" x14ac:dyDescent="0.25">
      <c r="A12" s="62" t="str">
        <f>IF(OR(B12&lt;&gt;0, C12&lt;&gt;0, D12&lt;&gt;0, E12&lt;&gt;0), 9, "")</f>
        <v/>
      </c>
      <c r="B12" s="35"/>
      <c r="C12" s="34"/>
      <c r="D12" s="34"/>
      <c r="E12" s="35"/>
    </row>
    <row r="13" spans="1:6" x14ac:dyDescent="0.25">
      <c r="A13" s="62" t="str">
        <f>IF(OR(B13&lt;&gt;0, C13&lt;&gt;0, D13&lt;&gt;0, E13&lt;&gt;0), 10, "")</f>
        <v/>
      </c>
      <c r="B13" s="35"/>
      <c r="C13" s="34"/>
      <c r="D13" s="34"/>
      <c r="E13" s="35"/>
    </row>
    <row r="14" spans="1:6" x14ac:dyDescent="0.25">
      <c r="A14" s="62" t="str">
        <f>IF(OR(B14&lt;&gt;0, C14&lt;&gt;0, D14&lt;&gt;0, E14&lt;&gt;0), 11, "")</f>
        <v/>
      </c>
      <c r="B14" s="35"/>
      <c r="C14" s="34"/>
      <c r="D14" s="34"/>
      <c r="E14" s="35"/>
    </row>
    <row r="15" spans="1:6" x14ac:dyDescent="0.25">
      <c r="A15" s="62" t="str">
        <f>IF(OR(B15&lt;&gt;0, C15&lt;&gt;0, D15&lt;&gt;0, E15&lt;&gt;0), 12, "")</f>
        <v/>
      </c>
      <c r="B15" s="35"/>
      <c r="C15" s="34"/>
      <c r="D15" s="34"/>
      <c r="E15" s="35"/>
    </row>
    <row r="16" spans="1:6" x14ac:dyDescent="0.25">
      <c r="A16" s="62" t="str">
        <f>IF(OR(B16&lt;&gt;0, C16&lt;&gt;0, D16&lt;&gt;0, E16&lt;&gt;0), 13, "")</f>
        <v/>
      </c>
      <c r="B16" s="35"/>
      <c r="C16" s="34"/>
      <c r="D16" s="34"/>
      <c r="E16" s="35"/>
    </row>
    <row r="17" spans="1:5" x14ac:dyDescent="0.25">
      <c r="A17" s="62" t="str">
        <f>IF(OR(B17&lt;&gt;0, C17&lt;&gt;0, D17&lt;&gt;0, E17&lt;&gt;0), 14, "")</f>
        <v/>
      </c>
      <c r="B17" s="35"/>
      <c r="C17" s="34"/>
      <c r="D17" s="34"/>
      <c r="E17" s="35"/>
    </row>
    <row r="18" spans="1:5" x14ac:dyDescent="0.25">
      <c r="A18" s="62" t="str">
        <f>IF(OR(B18&lt;&gt;0, C18&lt;&gt;0, D18&lt;&gt;0, E18&lt;&gt;0), 15, "")</f>
        <v/>
      </c>
      <c r="B18" s="35"/>
      <c r="C18" s="34"/>
      <c r="D18" s="34"/>
      <c r="E18" s="35"/>
    </row>
    <row r="19" spans="1:5" x14ac:dyDescent="0.25">
      <c r="A19" s="62" t="str">
        <f>IF(OR(B19&lt;&gt;0, C19&lt;&gt;0, D19&lt;&gt;0, E19&lt;&gt;0), 16, "")</f>
        <v/>
      </c>
      <c r="B19" s="35"/>
      <c r="C19" s="34"/>
      <c r="D19" s="34"/>
      <c r="E19" s="35"/>
    </row>
    <row r="20" spans="1:5" x14ac:dyDescent="0.25">
      <c r="A20" s="62" t="str">
        <f>IF(OR(B20&lt;&gt;0, C20&lt;&gt;0, D20&lt;&gt;0, E20&lt;&gt;0), 17, "")</f>
        <v/>
      </c>
      <c r="B20" s="35"/>
      <c r="C20" s="34"/>
      <c r="D20" s="34"/>
      <c r="E20" s="35"/>
    </row>
    <row r="21" spans="1:5" x14ac:dyDescent="0.25">
      <c r="A21" s="62" t="str">
        <f>IF(OR(B21&lt;&gt;0, C21&lt;&gt;0, D21&lt;&gt;0, E21&lt;&gt;0), 18, "")</f>
        <v/>
      </c>
      <c r="B21" s="35"/>
      <c r="C21" s="34"/>
      <c r="D21" s="34"/>
      <c r="E21" s="35"/>
    </row>
    <row r="22" spans="1:5" x14ac:dyDescent="0.25">
      <c r="A22" s="62" t="str">
        <f>IF(OR(B22&lt;&gt;0, C22&lt;&gt;0, D22&lt;&gt;0, E22&lt;&gt;0), 19, "")</f>
        <v/>
      </c>
      <c r="B22" s="35"/>
      <c r="C22" s="34"/>
      <c r="D22" s="34"/>
      <c r="E22" s="35"/>
    </row>
    <row r="23" spans="1:5" x14ac:dyDescent="0.25">
      <c r="A23" s="62" t="str">
        <f>IF(OR(B23&lt;&gt;0, C23&lt;&gt;0, D23&lt;&gt;0, E23&lt;&gt;0), 20, "")</f>
        <v/>
      </c>
      <c r="B23" s="35"/>
      <c r="C23" s="34"/>
      <c r="D23" s="34"/>
      <c r="E23" s="35"/>
    </row>
  </sheetData>
  <sheetProtection password="CC43" sheet="1" objects="1" scenarios="1" selectLockedCells="1"/>
  <mergeCells count="1">
    <mergeCell ref="A1:E1"/>
  </mergeCells>
  <conditionalFormatting sqref="A4:A23">
    <cfRule type="cellIs" dxfId="3" priority="2" operator="between">
      <formula>0</formula>
      <formula>20</formula>
    </cfRule>
  </conditionalFormatting>
  <conditionalFormatting sqref="B4:E23">
    <cfRule type="cellIs" dxfId="2" priority="1" operator="greaterThan">
      <formula>0</formula>
    </cfRule>
  </conditionalFormatting>
  <dataValidations count="2">
    <dataValidation type="list" allowBlank="1" showInputMessage="1" showErrorMessage="1" sqref="C4:C23">
      <formula1>"Международный, Федеральный, Региональный, Муниципальный"</formula1>
    </dataValidation>
    <dataValidation type="date" allowBlank="1" showInputMessage="1" showErrorMessage="1" sqref="D4:D23">
      <formula1>43252</formula1>
      <formula2>43617</formula2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showWhiteSpace="0" view="pageLayout" workbookViewId="0">
      <selection activeCell="A3" sqref="A3"/>
    </sheetView>
  </sheetViews>
  <sheetFormatPr defaultRowHeight="15" x14ac:dyDescent="0.25"/>
  <cols>
    <col min="1" max="1" width="5.42578125" style="1" customWidth="1"/>
    <col min="2" max="2" width="45.7109375" style="1" customWidth="1"/>
    <col min="3" max="3" width="16.5703125" style="1" customWidth="1"/>
    <col min="4" max="4" width="17.5703125" style="1" customWidth="1"/>
    <col min="5" max="5" width="45.7109375" style="1" customWidth="1"/>
    <col min="6" max="16384" width="9.140625" style="1"/>
  </cols>
  <sheetData>
    <row r="1" spans="1:5" ht="15.75" x14ac:dyDescent="0.25">
      <c r="A1" s="179" t="s">
        <v>275</v>
      </c>
      <c r="B1" s="179"/>
      <c r="C1" s="179"/>
      <c r="D1" s="179"/>
      <c r="E1" s="179"/>
    </row>
    <row r="3" spans="1:5" ht="30" x14ac:dyDescent="0.25">
      <c r="A3" s="52" t="s">
        <v>147</v>
      </c>
      <c r="B3" s="52" t="s">
        <v>248</v>
      </c>
      <c r="C3" s="52" t="s">
        <v>243</v>
      </c>
      <c r="D3" s="52" t="s">
        <v>246</v>
      </c>
      <c r="E3" s="52" t="s">
        <v>249</v>
      </c>
    </row>
    <row r="4" spans="1:5" x14ac:dyDescent="0.25">
      <c r="A4" s="62" t="str">
        <f>IF(OR(B4&lt;&gt;0, C4&lt;&gt;0, D4&lt;&gt;0, E4&lt;&gt;0), 1, "")</f>
        <v/>
      </c>
      <c r="B4" s="35"/>
      <c r="C4" s="34"/>
      <c r="D4" s="64"/>
      <c r="E4" s="35"/>
    </row>
    <row r="5" spans="1:5" x14ac:dyDescent="0.25">
      <c r="A5" s="62" t="str">
        <f>IF(OR(B5&lt;&gt;0, C5&lt;&gt;0, D5&lt;&gt;0, E5&lt;&gt;0), 2, "")</f>
        <v/>
      </c>
      <c r="B5" s="35"/>
      <c r="C5" s="34"/>
      <c r="D5" s="34"/>
      <c r="E5" s="35"/>
    </row>
    <row r="6" spans="1:5" x14ac:dyDescent="0.25">
      <c r="A6" s="62" t="str">
        <f>IF(OR(B6&lt;&gt;0, C6&lt;&gt;0, D6&lt;&gt;0, E6&lt;&gt;0), 3, "")</f>
        <v/>
      </c>
      <c r="B6" s="35"/>
      <c r="C6" s="34"/>
      <c r="D6" s="64"/>
      <c r="E6" s="35"/>
    </row>
    <row r="7" spans="1:5" x14ac:dyDescent="0.25">
      <c r="A7" s="62" t="str">
        <f>IF(OR(B7&lt;&gt;0, C7&lt;&gt;0, D7&lt;&gt;0, E7&lt;&gt;0), 4, "")</f>
        <v/>
      </c>
      <c r="B7" s="35"/>
      <c r="C7" s="34"/>
      <c r="D7" s="34"/>
      <c r="E7" s="35"/>
    </row>
    <row r="8" spans="1:5" x14ac:dyDescent="0.25">
      <c r="A8" s="62" t="str">
        <f>IF(OR(B8&lt;&gt;0, C8&lt;&gt;0, D8&lt;&gt;0, E8&lt;&gt;0), 5, "")</f>
        <v/>
      </c>
      <c r="B8" s="35"/>
      <c r="C8" s="34"/>
      <c r="D8" s="34"/>
      <c r="E8" s="35"/>
    </row>
    <row r="9" spans="1:5" x14ac:dyDescent="0.25">
      <c r="A9" s="62" t="str">
        <f>IF(OR(B9&lt;&gt;0, C9&lt;&gt;0, D9&lt;&gt;0, E9&lt;&gt;0), 6, "")</f>
        <v/>
      </c>
      <c r="B9" s="35"/>
      <c r="C9" s="34"/>
      <c r="D9" s="34"/>
      <c r="E9" s="35"/>
    </row>
    <row r="10" spans="1:5" x14ac:dyDescent="0.25">
      <c r="A10" s="62" t="str">
        <f>IF(OR(B10&lt;&gt;0, C10&lt;&gt;0, D10&lt;&gt;0, E10&lt;&gt;0), 7, "")</f>
        <v/>
      </c>
      <c r="B10" s="35"/>
      <c r="C10" s="34"/>
      <c r="D10" s="34"/>
      <c r="E10" s="35"/>
    </row>
    <row r="11" spans="1:5" x14ac:dyDescent="0.25">
      <c r="A11" s="62" t="str">
        <f>IF(OR(B11&lt;&gt;0, C11&lt;&gt;0, D11&lt;&gt;0, E11&lt;&gt;0), 8, "")</f>
        <v/>
      </c>
      <c r="B11" s="35"/>
      <c r="C11" s="34"/>
      <c r="D11" s="34"/>
      <c r="E11" s="35"/>
    </row>
    <row r="12" spans="1:5" x14ac:dyDescent="0.25">
      <c r="A12" s="62" t="str">
        <f>IF(OR(B12&lt;&gt;0, C12&lt;&gt;0, D12&lt;&gt;0, E12&lt;&gt;0), 9, "")</f>
        <v/>
      </c>
      <c r="B12" s="35"/>
      <c r="C12" s="34"/>
      <c r="D12" s="34"/>
      <c r="E12" s="35"/>
    </row>
    <row r="13" spans="1:5" x14ac:dyDescent="0.25">
      <c r="A13" s="62" t="str">
        <f>IF(OR(B13&lt;&gt;0, C13&lt;&gt;0, D13&lt;&gt;0, E13&lt;&gt;0), 10, "")</f>
        <v/>
      </c>
      <c r="B13" s="35"/>
      <c r="C13" s="34"/>
      <c r="D13" s="34"/>
      <c r="E13" s="35"/>
    </row>
    <row r="14" spans="1:5" x14ac:dyDescent="0.25">
      <c r="A14" s="62" t="str">
        <f>IF(OR(B14&lt;&gt;0, C14&lt;&gt;0, D14&lt;&gt;0, E14&lt;&gt;0), 11, "")</f>
        <v/>
      </c>
      <c r="B14" s="35"/>
      <c r="C14" s="34"/>
      <c r="D14" s="34"/>
      <c r="E14" s="35"/>
    </row>
    <row r="15" spans="1:5" x14ac:dyDescent="0.25">
      <c r="A15" s="62" t="str">
        <f>IF(OR(B15&lt;&gt;0, C15&lt;&gt;0, D15&lt;&gt;0, E15&lt;&gt;0), 12, "")</f>
        <v/>
      </c>
      <c r="B15" s="35"/>
      <c r="C15" s="34"/>
      <c r="D15" s="34"/>
      <c r="E15" s="35"/>
    </row>
    <row r="16" spans="1:5" x14ac:dyDescent="0.25">
      <c r="A16" s="62" t="str">
        <f>IF(OR(B16&lt;&gt;0, C16&lt;&gt;0, D16&lt;&gt;0, E16&lt;&gt;0), 13, "")</f>
        <v/>
      </c>
      <c r="B16" s="35"/>
      <c r="C16" s="34"/>
      <c r="D16" s="34"/>
      <c r="E16" s="35"/>
    </row>
    <row r="17" spans="1:5" x14ac:dyDescent="0.25">
      <c r="A17" s="62" t="str">
        <f>IF(OR(B17&lt;&gt;0, C17&lt;&gt;0, D17&lt;&gt;0, E17&lt;&gt;0), 14, "")</f>
        <v/>
      </c>
      <c r="B17" s="35"/>
      <c r="C17" s="34"/>
      <c r="D17" s="34"/>
      <c r="E17" s="35"/>
    </row>
    <row r="18" spans="1:5" x14ac:dyDescent="0.25">
      <c r="A18" s="62" t="str">
        <f>IF(OR(B18&lt;&gt;0, C18&lt;&gt;0, D18&lt;&gt;0, E18&lt;&gt;0), 15, "")</f>
        <v/>
      </c>
      <c r="B18" s="35"/>
      <c r="C18" s="34"/>
      <c r="D18" s="34"/>
      <c r="E18" s="35"/>
    </row>
    <row r="19" spans="1:5" x14ac:dyDescent="0.25">
      <c r="A19" s="62" t="str">
        <f>IF(OR(B19&lt;&gt;0, C19&lt;&gt;0, D19&lt;&gt;0, E19&lt;&gt;0), 16, "")</f>
        <v/>
      </c>
      <c r="B19" s="35"/>
      <c r="C19" s="34"/>
      <c r="D19" s="34"/>
      <c r="E19" s="35"/>
    </row>
    <row r="20" spans="1:5" x14ac:dyDescent="0.25">
      <c r="A20" s="62" t="str">
        <f>IF(OR(B20&lt;&gt;0, C20&lt;&gt;0, D20&lt;&gt;0, E20&lt;&gt;0), 17, "")</f>
        <v/>
      </c>
      <c r="B20" s="35"/>
      <c r="C20" s="34"/>
      <c r="D20" s="34"/>
      <c r="E20" s="35"/>
    </row>
    <row r="21" spans="1:5" x14ac:dyDescent="0.25">
      <c r="A21" s="62" t="str">
        <f>IF(OR(B21&lt;&gt;0, C21&lt;&gt;0, D21&lt;&gt;0, E21&lt;&gt;0), 18, "")</f>
        <v/>
      </c>
      <c r="B21" s="35"/>
      <c r="C21" s="34"/>
      <c r="D21" s="34"/>
      <c r="E21" s="35"/>
    </row>
    <row r="22" spans="1:5" x14ac:dyDescent="0.25">
      <c r="A22" s="62" t="str">
        <f>IF(OR(B22&lt;&gt;0, C22&lt;&gt;0, D22&lt;&gt;0, E22&lt;&gt;0), 19, "")</f>
        <v/>
      </c>
      <c r="B22" s="35"/>
      <c r="C22" s="34"/>
      <c r="D22" s="34"/>
      <c r="E22" s="35"/>
    </row>
    <row r="23" spans="1:5" x14ac:dyDescent="0.25">
      <c r="A23" s="62" t="str">
        <f>IF(OR(B23&lt;&gt;0, C23&lt;&gt;0, D23&lt;&gt;0, E23&lt;&gt;0), 20, "")</f>
        <v/>
      </c>
      <c r="B23" s="35"/>
      <c r="C23" s="34"/>
      <c r="D23" s="64"/>
      <c r="E23" s="35"/>
    </row>
  </sheetData>
  <sheetProtection password="CC43" sheet="1" objects="1" scenarios="1" selectLockedCells="1"/>
  <mergeCells count="1">
    <mergeCell ref="A1:E1"/>
  </mergeCells>
  <conditionalFormatting sqref="A4:A23">
    <cfRule type="cellIs" dxfId="1" priority="2" operator="between">
      <formula>0</formula>
      <formula>20</formula>
    </cfRule>
  </conditionalFormatting>
  <conditionalFormatting sqref="B4:E23">
    <cfRule type="cellIs" dxfId="0" priority="1" operator="greaterThan">
      <formula>0</formula>
    </cfRule>
  </conditionalFormatting>
  <dataValidations count="2">
    <dataValidation type="date" allowBlank="1" showInputMessage="1" showErrorMessage="1" sqref="D4:D23">
      <formula1>43252</formula1>
      <formula2>43617</formula2>
    </dataValidation>
    <dataValidation type="list" allowBlank="1" showInputMessage="1" showErrorMessage="1" sqref="C4:C23">
      <formula1>"Международный, Федеральный, Региональный, Муниципальный"</formula1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WhiteSpace="0" view="pageLayout" workbookViewId="0">
      <selection activeCell="A3" sqref="A3:I3"/>
    </sheetView>
  </sheetViews>
  <sheetFormatPr defaultRowHeight="15" x14ac:dyDescent="0.25"/>
  <cols>
    <col min="1" max="8" width="9.140625" style="1"/>
    <col min="9" max="9" width="14.28515625" style="1" customWidth="1"/>
    <col min="10" max="16384" width="9.140625" style="1"/>
  </cols>
  <sheetData>
    <row r="1" spans="1:9" ht="15.75" x14ac:dyDescent="0.25">
      <c r="A1" s="179" t="s">
        <v>250</v>
      </c>
      <c r="B1" s="179"/>
      <c r="C1" s="179"/>
      <c r="D1" s="179"/>
      <c r="E1" s="179"/>
      <c r="F1" s="179"/>
      <c r="G1" s="179"/>
      <c r="H1" s="179"/>
      <c r="I1" s="179"/>
    </row>
    <row r="3" spans="1:9" ht="45" customHeight="1" x14ac:dyDescent="0.25">
      <c r="A3" s="266" t="s">
        <v>262</v>
      </c>
      <c r="B3" s="266"/>
      <c r="C3" s="266"/>
      <c r="D3" s="266"/>
      <c r="E3" s="266"/>
      <c r="F3" s="266"/>
      <c r="G3" s="266"/>
      <c r="H3" s="266"/>
      <c r="I3" s="266"/>
    </row>
    <row r="5" spans="1:9" ht="15.75" x14ac:dyDescent="0.25">
      <c r="A5" s="179" t="s">
        <v>276</v>
      </c>
      <c r="B5" s="179"/>
      <c r="C5" s="179"/>
      <c r="D5" s="179"/>
      <c r="E5" s="179"/>
      <c r="F5" s="179"/>
      <c r="G5" s="179"/>
      <c r="H5" s="179"/>
      <c r="I5" s="179"/>
    </row>
    <row r="7" spans="1:9" ht="30.75" customHeight="1" x14ac:dyDescent="0.25">
      <c r="A7" s="264" t="s">
        <v>260</v>
      </c>
      <c r="B7" s="264"/>
      <c r="C7" s="264"/>
      <c r="D7" s="264"/>
      <c r="E7" s="264"/>
      <c r="F7" s="264"/>
      <c r="G7" s="264"/>
      <c r="H7" s="264"/>
      <c r="I7" s="264"/>
    </row>
    <row r="8" spans="1:9" x14ac:dyDescent="0.25">
      <c r="A8" s="264" t="s">
        <v>259</v>
      </c>
      <c r="B8" s="264"/>
      <c r="C8" s="264"/>
      <c r="D8" s="264"/>
      <c r="E8" s="264"/>
      <c r="F8" s="264"/>
      <c r="G8" s="264"/>
      <c r="H8" s="264"/>
      <c r="I8" s="264"/>
    </row>
    <row r="9" spans="1:9" ht="45" customHeight="1" x14ac:dyDescent="0.25">
      <c r="A9" s="264" t="s">
        <v>258</v>
      </c>
      <c r="B9" s="264"/>
      <c r="C9" s="264"/>
      <c r="D9" s="264"/>
      <c r="E9" s="264"/>
      <c r="F9" s="264"/>
      <c r="G9" s="264"/>
      <c r="H9" s="264"/>
      <c r="I9" s="264"/>
    </row>
    <row r="10" spans="1:9" ht="30" customHeight="1" x14ac:dyDescent="0.25">
      <c r="A10" s="264" t="s">
        <v>257</v>
      </c>
      <c r="B10" s="264"/>
      <c r="C10" s="264"/>
      <c r="D10" s="264"/>
      <c r="E10" s="264"/>
      <c r="F10" s="264"/>
      <c r="G10" s="264"/>
      <c r="H10" s="264"/>
      <c r="I10" s="264"/>
    </row>
    <row r="11" spans="1:9" x14ac:dyDescent="0.25">
      <c r="A11" s="264" t="s">
        <v>256</v>
      </c>
      <c r="B11" s="264"/>
      <c r="C11" s="264"/>
      <c r="D11" s="264"/>
      <c r="E11" s="264"/>
      <c r="F11" s="264"/>
      <c r="G11" s="264"/>
      <c r="H11" s="264"/>
      <c r="I11" s="264"/>
    </row>
    <row r="12" spans="1:9" ht="30" customHeight="1" x14ac:dyDescent="0.25">
      <c r="A12" s="264" t="s">
        <v>255</v>
      </c>
      <c r="B12" s="264"/>
      <c r="C12" s="264"/>
      <c r="D12" s="264"/>
      <c r="E12" s="264"/>
      <c r="F12" s="264"/>
      <c r="G12" s="264"/>
      <c r="H12" s="264"/>
      <c r="I12" s="264"/>
    </row>
    <row r="14" spans="1:9" ht="15.75" x14ac:dyDescent="0.25">
      <c r="A14" s="265" t="s">
        <v>277</v>
      </c>
      <c r="B14" s="265"/>
      <c r="C14" s="265"/>
      <c r="D14" s="265"/>
      <c r="E14" s="265"/>
      <c r="F14" s="265"/>
      <c r="G14" s="265"/>
      <c r="H14" s="265"/>
      <c r="I14" s="265"/>
    </row>
    <row r="16" spans="1:9" x14ac:dyDescent="0.25">
      <c r="A16" s="263" t="s">
        <v>254</v>
      </c>
      <c r="B16" s="263"/>
      <c r="C16" s="263"/>
      <c r="D16" s="263"/>
      <c r="E16" s="263"/>
      <c r="F16" s="263"/>
      <c r="G16" s="263"/>
      <c r="H16" s="263"/>
      <c r="I16" s="263"/>
    </row>
    <row r="17" spans="1:9" ht="30" customHeight="1" x14ac:dyDescent="0.25">
      <c r="A17" s="264" t="s">
        <v>252</v>
      </c>
      <c r="B17" s="264"/>
      <c r="C17" s="264"/>
      <c r="D17" s="264"/>
      <c r="E17" s="264"/>
      <c r="F17" s="264"/>
      <c r="G17" s="264"/>
      <c r="H17" s="264"/>
      <c r="I17" s="264"/>
    </row>
    <row r="18" spans="1:9" ht="30" customHeight="1" x14ac:dyDescent="0.25">
      <c r="A18" s="264" t="s">
        <v>251</v>
      </c>
      <c r="B18" s="264"/>
      <c r="C18" s="264"/>
      <c r="D18" s="264"/>
      <c r="E18" s="264"/>
      <c r="F18" s="264"/>
      <c r="G18" s="264"/>
      <c r="H18" s="264"/>
      <c r="I18" s="264"/>
    </row>
    <row r="19" spans="1:9" x14ac:dyDescent="0.25">
      <c r="A19" s="263" t="s">
        <v>253</v>
      </c>
      <c r="B19" s="263"/>
      <c r="C19" s="263"/>
      <c r="D19" s="263"/>
      <c r="E19" s="263"/>
      <c r="F19" s="263"/>
      <c r="G19" s="263"/>
      <c r="H19" s="263"/>
      <c r="I19" s="263"/>
    </row>
  </sheetData>
  <sheetProtection password="CC43" sheet="1" objects="1" scenarios="1"/>
  <mergeCells count="14">
    <mergeCell ref="A3:I3"/>
    <mergeCell ref="A1:I1"/>
    <mergeCell ref="A5:I5"/>
    <mergeCell ref="A7:I7"/>
    <mergeCell ref="A8:I8"/>
    <mergeCell ref="A16:I16"/>
    <mergeCell ref="A17:I17"/>
    <mergeCell ref="A18:I18"/>
    <mergeCell ref="A19:I19"/>
    <mergeCell ref="A9:I9"/>
    <mergeCell ref="A10:I10"/>
    <mergeCell ref="A11:I11"/>
    <mergeCell ref="A12:I12"/>
    <mergeCell ref="A14:I14"/>
  </mergeCells>
  <pageMargins left="0.7" right="0.7" top="0.75" bottom="0.75" header="0.3" footer="0.3"/>
  <pageSetup paperSize="9" orientation="portrait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 x14ac:dyDescent="0.25"/>
  <sheetData>
    <row r="1" spans="1:2" x14ac:dyDescent="0.25">
      <c r="A1" s="78" t="s">
        <v>289</v>
      </c>
      <c r="B1" s="78" t="s">
        <v>331</v>
      </c>
    </row>
  </sheetData>
  <sheetProtection password="CC29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showWhiteSpace="0" view="pageLayout" workbookViewId="0">
      <selection activeCell="M20" sqref="M20"/>
    </sheetView>
  </sheetViews>
  <sheetFormatPr defaultRowHeight="15" x14ac:dyDescent="0.25"/>
  <cols>
    <col min="1" max="6" width="9.140625" style="1"/>
    <col min="7" max="7" width="6.85546875" style="1" customWidth="1"/>
    <col min="8" max="9" width="6" style="1" customWidth="1"/>
    <col min="10" max="11" width="12.85546875" style="1" customWidth="1"/>
    <col min="12" max="12" width="6" style="1" customWidth="1"/>
    <col min="13" max="14" width="12.85546875" style="1" customWidth="1"/>
    <col min="15" max="16384" width="9.140625" style="1"/>
  </cols>
  <sheetData>
    <row r="1" spans="1:14" ht="15.75" x14ac:dyDescent="0.25">
      <c r="A1" s="179" t="s">
        <v>140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3" spans="1:14" ht="38.25" customHeight="1" x14ac:dyDescent="0.25">
      <c r="A3" s="195" t="s">
        <v>101</v>
      </c>
      <c r="B3" s="195"/>
      <c r="C3" s="195"/>
      <c r="D3" s="195"/>
      <c r="E3" s="195"/>
      <c r="F3" s="195"/>
      <c r="G3" s="194" t="s">
        <v>2</v>
      </c>
      <c r="H3" s="195" t="s">
        <v>19</v>
      </c>
      <c r="I3" s="194" t="s">
        <v>94</v>
      </c>
      <c r="J3" s="194"/>
      <c r="K3" s="194"/>
      <c r="L3" s="194" t="s">
        <v>95</v>
      </c>
      <c r="M3" s="194"/>
      <c r="N3" s="194"/>
    </row>
    <row r="4" spans="1:14" ht="12.75" customHeight="1" x14ac:dyDescent="0.25">
      <c r="A4" s="195"/>
      <c r="B4" s="195"/>
      <c r="C4" s="195"/>
      <c r="D4" s="195"/>
      <c r="E4" s="195"/>
      <c r="F4" s="195"/>
      <c r="G4" s="194"/>
      <c r="H4" s="195"/>
      <c r="I4" s="195" t="s">
        <v>19</v>
      </c>
      <c r="J4" s="195" t="s">
        <v>98</v>
      </c>
      <c r="K4" s="195"/>
      <c r="L4" s="195" t="s">
        <v>19</v>
      </c>
      <c r="M4" s="195" t="s">
        <v>98</v>
      </c>
      <c r="N4" s="195"/>
    </row>
    <row r="5" spans="1:14" ht="38.25" x14ac:dyDescent="0.25">
      <c r="A5" s="195"/>
      <c r="B5" s="195"/>
      <c r="C5" s="195"/>
      <c r="D5" s="195"/>
      <c r="E5" s="195"/>
      <c r="F5" s="195"/>
      <c r="G5" s="194"/>
      <c r="H5" s="195"/>
      <c r="I5" s="195"/>
      <c r="J5" s="56" t="s">
        <v>99</v>
      </c>
      <c r="K5" s="56" t="s">
        <v>100</v>
      </c>
      <c r="L5" s="195"/>
      <c r="M5" s="56" t="s">
        <v>99</v>
      </c>
      <c r="N5" s="56" t="s">
        <v>100</v>
      </c>
    </row>
    <row r="6" spans="1:14" ht="12.75" customHeight="1" x14ac:dyDescent="0.25">
      <c r="A6" s="195">
        <v>1</v>
      </c>
      <c r="B6" s="195"/>
      <c r="C6" s="195"/>
      <c r="D6" s="195"/>
      <c r="E6" s="195"/>
      <c r="F6" s="195"/>
      <c r="G6" s="57">
        <v>2</v>
      </c>
      <c r="H6" s="57">
        <v>3</v>
      </c>
      <c r="I6" s="57">
        <v>4</v>
      </c>
      <c r="J6" s="57">
        <v>5</v>
      </c>
      <c r="K6" s="57">
        <v>6</v>
      </c>
      <c r="L6" s="57">
        <v>7</v>
      </c>
      <c r="M6" s="57">
        <v>8</v>
      </c>
      <c r="N6" s="57">
        <v>9</v>
      </c>
    </row>
    <row r="7" spans="1:14" ht="12.75" customHeight="1" x14ac:dyDescent="0.25">
      <c r="A7" s="197" t="s">
        <v>279</v>
      </c>
      <c r="B7" s="197"/>
      <c r="C7" s="197"/>
      <c r="D7" s="197"/>
      <c r="E7" s="197"/>
      <c r="F7" s="197"/>
      <c r="G7" s="58" t="s">
        <v>21</v>
      </c>
      <c r="H7" s="59">
        <f>I7+L7</f>
        <v>23</v>
      </c>
      <c r="I7" s="59">
        <f>J7</f>
        <v>3</v>
      </c>
      <c r="J7" s="59">
        <f>J11+J14+J15</f>
        <v>3</v>
      </c>
      <c r="K7" s="74" t="s">
        <v>90</v>
      </c>
      <c r="L7" s="59">
        <f>M7+N7</f>
        <v>20</v>
      </c>
      <c r="M7" s="59">
        <f>M8+M11+M14+M15</f>
        <v>7</v>
      </c>
      <c r="N7" s="59">
        <f>N8+N14+N15</f>
        <v>13</v>
      </c>
    </row>
    <row r="8" spans="1:14" ht="38.25" customHeight="1" x14ac:dyDescent="0.25">
      <c r="A8" s="192" t="s">
        <v>102</v>
      </c>
      <c r="B8" s="192"/>
      <c r="C8" s="192"/>
      <c r="D8" s="192"/>
      <c r="E8" s="192"/>
      <c r="F8" s="192"/>
      <c r="G8" s="58" t="s">
        <v>20</v>
      </c>
      <c r="H8" s="59">
        <f>L8</f>
        <v>0</v>
      </c>
      <c r="I8" s="59" t="s">
        <v>90</v>
      </c>
      <c r="J8" s="59" t="str">
        <f>J10</f>
        <v>X</v>
      </c>
      <c r="K8" s="74" t="s">
        <v>90</v>
      </c>
      <c r="L8" s="59">
        <f>M8+N8</f>
        <v>0</v>
      </c>
      <c r="M8" s="59">
        <f>M10</f>
        <v>0</v>
      </c>
      <c r="N8" s="59">
        <f>N9</f>
        <v>0</v>
      </c>
    </row>
    <row r="9" spans="1:14" ht="12.75" customHeight="1" x14ac:dyDescent="0.25">
      <c r="A9" s="196" t="s">
        <v>104</v>
      </c>
      <c r="B9" s="196"/>
      <c r="C9" s="196"/>
      <c r="D9" s="196"/>
      <c r="E9" s="196"/>
      <c r="F9" s="196"/>
      <c r="G9" s="58" t="s">
        <v>22</v>
      </c>
      <c r="H9" s="59">
        <f>L9</f>
        <v>0</v>
      </c>
      <c r="I9" s="59" t="str">
        <f>K9</f>
        <v>X</v>
      </c>
      <c r="J9" s="74" t="s">
        <v>90</v>
      </c>
      <c r="K9" s="74" t="s">
        <v>90</v>
      </c>
      <c r="L9" s="59">
        <f>N9</f>
        <v>0</v>
      </c>
      <c r="M9" s="74" t="s">
        <v>90</v>
      </c>
      <c r="N9" s="60"/>
    </row>
    <row r="10" spans="1:14" ht="12.75" customHeight="1" x14ac:dyDescent="0.25">
      <c r="A10" s="196" t="s">
        <v>103</v>
      </c>
      <c r="B10" s="196"/>
      <c r="C10" s="196"/>
      <c r="D10" s="196"/>
      <c r="E10" s="196"/>
      <c r="F10" s="196"/>
      <c r="G10" s="58" t="s">
        <v>23</v>
      </c>
      <c r="H10" s="59">
        <f>L10</f>
        <v>0</v>
      </c>
      <c r="I10" s="59" t="str">
        <f>J10</f>
        <v>X</v>
      </c>
      <c r="J10" s="74" t="s">
        <v>90</v>
      </c>
      <c r="K10" s="74" t="s">
        <v>90</v>
      </c>
      <c r="L10" s="59">
        <f>M10</f>
        <v>0</v>
      </c>
      <c r="M10" s="60"/>
      <c r="N10" s="74" t="s">
        <v>90</v>
      </c>
    </row>
    <row r="11" spans="1:14" ht="25.5" customHeight="1" x14ac:dyDescent="0.25">
      <c r="A11" s="192" t="s">
        <v>105</v>
      </c>
      <c r="B11" s="192"/>
      <c r="C11" s="192"/>
      <c r="D11" s="192"/>
      <c r="E11" s="192"/>
      <c r="F11" s="192"/>
      <c r="G11" s="58" t="s">
        <v>24</v>
      </c>
      <c r="H11" s="59">
        <f>H12+H13</f>
        <v>0</v>
      </c>
      <c r="I11" s="59">
        <f>I13</f>
        <v>0</v>
      </c>
      <c r="J11" s="59">
        <f>J13</f>
        <v>0</v>
      </c>
      <c r="K11" s="74" t="s">
        <v>90</v>
      </c>
      <c r="L11" s="59">
        <f>L12</f>
        <v>0</v>
      </c>
      <c r="M11" s="59">
        <f>M12</f>
        <v>0</v>
      </c>
      <c r="N11" s="59" t="str">
        <f>N12</f>
        <v>X</v>
      </c>
    </row>
    <row r="12" spans="1:14" ht="25.5" customHeight="1" x14ac:dyDescent="0.25">
      <c r="A12" s="193" t="s">
        <v>106</v>
      </c>
      <c r="B12" s="193"/>
      <c r="C12" s="193"/>
      <c r="D12" s="193"/>
      <c r="E12" s="193"/>
      <c r="F12" s="193"/>
      <c r="G12" s="58" t="s">
        <v>25</v>
      </c>
      <c r="H12" s="59">
        <f>L12</f>
        <v>0</v>
      </c>
      <c r="I12" s="74" t="s">
        <v>90</v>
      </c>
      <c r="J12" s="74" t="s">
        <v>90</v>
      </c>
      <c r="K12" s="74" t="s">
        <v>90</v>
      </c>
      <c r="L12" s="59">
        <f>M12</f>
        <v>0</v>
      </c>
      <c r="M12" s="60">
        <v>0</v>
      </c>
      <c r="N12" s="74" t="s">
        <v>90</v>
      </c>
    </row>
    <row r="13" spans="1:14" ht="25.5" customHeight="1" x14ac:dyDescent="0.25">
      <c r="A13" s="193" t="s">
        <v>107</v>
      </c>
      <c r="B13" s="193"/>
      <c r="C13" s="193"/>
      <c r="D13" s="193"/>
      <c r="E13" s="193"/>
      <c r="F13" s="193"/>
      <c r="G13" s="58" t="s">
        <v>26</v>
      </c>
      <c r="H13" s="59">
        <f>I13</f>
        <v>0</v>
      </c>
      <c r="I13" s="59">
        <f>J13</f>
        <v>0</v>
      </c>
      <c r="J13" s="60">
        <v>0</v>
      </c>
      <c r="K13" s="74" t="s">
        <v>90</v>
      </c>
      <c r="L13" s="74" t="s">
        <v>90</v>
      </c>
      <c r="M13" s="74" t="s">
        <v>90</v>
      </c>
      <c r="N13" s="74" t="s">
        <v>90</v>
      </c>
    </row>
    <row r="14" spans="1:14" ht="25.5" customHeight="1" x14ac:dyDescent="0.25">
      <c r="A14" s="192" t="s">
        <v>108</v>
      </c>
      <c r="B14" s="192"/>
      <c r="C14" s="192"/>
      <c r="D14" s="192"/>
      <c r="E14" s="192"/>
      <c r="F14" s="192"/>
      <c r="G14" s="58" t="s">
        <v>27</v>
      </c>
      <c r="H14" s="59">
        <f t="shared" ref="H14:H15" si="0">I14+L14</f>
        <v>1</v>
      </c>
      <c r="I14" s="59">
        <f>J14</f>
        <v>1</v>
      </c>
      <c r="J14" s="60">
        <v>1</v>
      </c>
      <c r="K14" s="74" t="s">
        <v>90</v>
      </c>
      <c r="L14" s="59">
        <f t="shared" ref="L14:L15" si="1">M14+N14</f>
        <v>0</v>
      </c>
      <c r="M14" s="60">
        <v>0</v>
      </c>
      <c r="N14" s="60">
        <v>0</v>
      </c>
    </row>
    <row r="15" spans="1:14" ht="12.75" customHeight="1" x14ac:dyDescent="0.25">
      <c r="A15" s="188" t="s">
        <v>379</v>
      </c>
      <c r="B15" s="189"/>
      <c r="C15" s="189"/>
      <c r="D15" s="189"/>
      <c r="E15" s="189"/>
      <c r="F15" s="190"/>
      <c r="G15" s="58" t="s">
        <v>28</v>
      </c>
      <c r="H15" s="59">
        <f t="shared" si="0"/>
        <v>22</v>
      </c>
      <c r="I15" s="59">
        <f>J15</f>
        <v>2</v>
      </c>
      <c r="J15" s="60">
        <v>2</v>
      </c>
      <c r="K15" s="74" t="s">
        <v>90</v>
      </c>
      <c r="L15" s="59">
        <f t="shared" si="1"/>
        <v>20</v>
      </c>
      <c r="M15" s="60">
        <v>7</v>
      </c>
      <c r="N15" s="60">
        <v>13</v>
      </c>
    </row>
    <row r="16" spans="1:14" ht="12.75" customHeight="1" x14ac:dyDescent="0.25">
      <c r="A16" s="197" t="s">
        <v>280</v>
      </c>
      <c r="B16" s="197"/>
      <c r="C16" s="197"/>
      <c r="D16" s="197"/>
      <c r="E16" s="197"/>
      <c r="F16" s="197"/>
      <c r="G16" s="58" t="s">
        <v>29</v>
      </c>
      <c r="H16" s="59">
        <f>H17+H18+H19+H20</f>
        <v>103</v>
      </c>
      <c r="I16" s="59">
        <f>I17+I18+I19+I20</f>
        <v>2</v>
      </c>
      <c r="J16" s="59">
        <f t="shared" ref="J16:N16" si="2">J17+J18+J19+J20</f>
        <v>2</v>
      </c>
      <c r="K16" s="74" t="s">
        <v>90</v>
      </c>
      <c r="L16" s="59">
        <f t="shared" si="2"/>
        <v>101</v>
      </c>
      <c r="M16" s="59">
        <f t="shared" si="2"/>
        <v>8</v>
      </c>
      <c r="N16" s="59">
        <f t="shared" si="2"/>
        <v>93</v>
      </c>
    </row>
    <row r="17" spans="1:14" ht="25.5" customHeight="1" x14ac:dyDescent="0.25">
      <c r="A17" s="193" t="s">
        <v>111</v>
      </c>
      <c r="B17" s="193"/>
      <c r="C17" s="193"/>
      <c r="D17" s="193"/>
      <c r="E17" s="193"/>
      <c r="F17" s="193"/>
      <c r="G17" s="58" t="s">
        <v>30</v>
      </c>
      <c r="H17" s="59">
        <f>I17+L17</f>
        <v>0</v>
      </c>
      <c r="I17" s="59">
        <f>J17</f>
        <v>0</v>
      </c>
      <c r="J17" s="60">
        <v>0</v>
      </c>
      <c r="K17" s="74" t="s">
        <v>90</v>
      </c>
      <c r="L17" s="59">
        <f>M17+N17</f>
        <v>0</v>
      </c>
      <c r="M17" s="60">
        <v>0</v>
      </c>
      <c r="N17" s="60">
        <v>0</v>
      </c>
    </row>
    <row r="18" spans="1:14" ht="12.75" customHeight="1" x14ac:dyDescent="0.25">
      <c r="A18" s="196" t="s">
        <v>110</v>
      </c>
      <c r="B18" s="196"/>
      <c r="C18" s="196"/>
      <c r="D18" s="196"/>
      <c r="E18" s="196"/>
      <c r="F18" s="196"/>
      <c r="G18" s="58" t="s">
        <v>31</v>
      </c>
      <c r="H18" s="59">
        <f t="shared" ref="H18:H21" si="3">I18+L18</f>
        <v>2</v>
      </c>
      <c r="I18" s="59">
        <f>J18</f>
        <v>0</v>
      </c>
      <c r="J18" s="60">
        <v>0</v>
      </c>
      <c r="K18" s="74" t="s">
        <v>90</v>
      </c>
      <c r="L18" s="59">
        <f t="shared" ref="L18:L22" si="4">M18+N18</f>
        <v>2</v>
      </c>
      <c r="M18" s="60">
        <v>0</v>
      </c>
      <c r="N18" s="60">
        <v>2</v>
      </c>
    </row>
    <row r="19" spans="1:14" ht="25.5" customHeight="1" x14ac:dyDescent="0.25">
      <c r="A19" s="193" t="s">
        <v>112</v>
      </c>
      <c r="B19" s="193"/>
      <c r="C19" s="193"/>
      <c r="D19" s="193"/>
      <c r="E19" s="193"/>
      <c r="F19" s="193"/>
      <c r="G19" s="58" t="s">
        <v>32</v>
      </c>
      <c r="H19" s="59">
        <f t="shared" si="3"/>
        <v>18</v>
      </c>
      <c r="I19" s="59">
        <f>J19</f>
        <v>2</v>
      </c>
      <c r="J19" s="60">
        <v>2</v>
      </c>
      <c r="K19" s="74" t="s">
        <v>90</v>
      </c>
      <c r="L19" s="59">
        <f t="shared" si="4"/>
        <v>16</v>
      </c>
      <c r="M19" s="60">
        <v>8</v>
      </c>
      <c r="N19" s="60">
        <v>8</v>
      </c>
    </row>
    <row r="20" spans="1:14" ht="12.75" customHeight="1" x14ac:dyDescent="0.25">
      <c r="A20" s="196" t="s">
        <v>109</v>
      </c>
      <c r="B20" s="196"/>
      <c r="C20" s="196"/>
      <c r="D20" s="196"/>
      <c r="E20" s="196"/>
      <c r="F20" s="196"/>
      <c r="G20" s="58" t="s">
        <v>33</v>
      </c>
      <c r="H20" s="59">
        <f t="shared" si="3"/>
        <v>83</v>
      </c>
      <c r="I20" s="59">
        <f>J20</f>
        <v>0</v>
      </c>
      <c r="J20" s="60">
        <v>0</v>
      </c>
      <c r="K20" s="74" t="s">
        <v>90</v>
      </c>
      <c r="L20" s="59">
        <f t="shared" si="4"/>
        <v>83</v>
      </c>
      <c r="M20" s="60">
        <v>0</v>
      </c>
      <c r="N20" s="60">
        <v>83</v>
      </c>
    </row>
    <row r="21" spans="1:14" ht="25.5" customHeight="1" x14ac:dyDescent="0.25">
      <c r="A21" s="192" t="s">
        <v>378</v>
      </c>
      <c r="B21" s="192"/>
      <c r="C21" s="192"/>
      <c r="D21" s="192"/>
      <c r="E21" s="192"/>
      <c r="F21" s="192"/>
      <c r="G21" s="58" t="s">
        <v>34</v>
      </c>
      <c r="H21" s="59">
        <f t="shared" si="3"/>
        <v>377</v>
      </c>
      <c r="I21" s="133">
        <f>J21+K21</f>
        <v>178</v>
      </c>
      <c r="J21" s="87">
        <f>'1'!F56</f>
        <v>178</v>
      </c>
      <c r="K21" s="87">
        <f>'1'!E56-'1'!F56</f>
        <v>0</v>
      </c>
      <c r="L21" s="59">
        <f t="shared" si="4"/>
        <v>199</v>
      </c>
      <c r="M21" s="87">
        <f>'1'!L56</f>
        <v>107</v>
      </c>
      <c r="N21" s="87">
        <f>'1'!K56-'1'!L56</f>
        <v>92</v>
      </c>
    </row>
    <row r="22" spans="1:14" ht="38.25" customHeight="1" x14ac:dyDescent="0.25">
      <c r="A22" s="191" t="s">
        <v>281</v>
      </c>
      <c r="B22" s="191"/>
      <c r="C22" s="191"/>
      <c r="D22" s="191"/>
      <c r="E22" s="191"/>
      <c r="F22" s="191"/>
      <c r="G22" s="75" t="s">
        <v>35</v>
      </c>
      <c r="H22" s="59">
        <f>I22+L22</f>
        <v>297</v>
      </c>
      <c r="I22" s="133">
        <f>J22+K22</f>
        <v>179</v>
      </c>
      <c r="J22" s="134">
        <f>J21-J16+J15+J14+J13-M12</f>
        <v>179</v>
      </c>
      <c r="K22" s="89">
        <f>'2'!E51-'2'!F51</f>
        <v>0</v>
      </c>
      <c r="L22" s="59">
        <f t="shared" si="4"/>
        <v>118</v>
      </c>
      <c r="M22" s="134">
        <f>M21-M16+M15+M14+M12-J13+M10-N9</f>
        <v>106</v>
      </c>
      <c r="N22" s="134">
        <f>N21-N16+N15+N14+N9-M10</f>
        <v>12</v>
      </c>
    </row>
    <row r="23" spans="1:14" ht="25.5" customHeight="1" x14ac:dyDescent="0.25">
      <c r="A23" s="198" t="s">
        <v>329</v>
      </c>
      <c r="B23" s="198"/>
      <c r="C23" s="198"/>
      <c r="D23" s="198"/>
      <c r="E23" s="198"/>
      <c r="F23" s="198"/>
      <c r="G23" s="76">
        <v>17</v>
      </c>
      <c r="H23" s="113" t="str">
        <f>IF(H22='2'!C51,CHAR(252),CHAR(251))</f>
        <v>ь</v>
      </c>
      <c r="I23" s="113" t="str">
        <f>IF(I22='2'!E51,CHAR(252),CHAR(251))</f>
        <v>ь</v>
      </c>
      <c r="J23" s="113" t="str">
        <f>IF(J22='2'!F51,CHAR(252),CHAR(251))</f>
        <v>ь</v>
      </c>
      <c r="K23" s="113" t="str">
        <f>IF(K22='2'!E51-'2'!F51,CHAR(252),CHAR(251))</f>
        <v>ь</v>
      </c>
      <c r="L23" s="113" t="str">
        <f>IF(L22='2'!J51,CHAR(252),CHAR(251))</f>
        <v>ь</v>
      </c>
      <c r="M23" s="113" t="str">
        <f>IF(M22='2'!K51,CHAR(252),CHAR(251))</f>
        <v>ь</v>
      </c>
      <c r="N23" s="113" t="str">
        <f>IF(N22='2'!J51-'2'!K51,CHAR(252),CHAR(251))</f>
        <v>ь</v>
      </c>
    </row>
  </sheetData>
  <sheetProtection password="CC43" sheet="1" objects="1" scenarios="1" selectLockedCells="1"/>
  <mergeCells count="28">
    <mergeCell ref="A23:F23"/>
    <mergeCell ref="A18:F18"/>
    <mergeCell ref="A19:F19"/>
    <mergeCell ref="A20:F20"/>
    <mergeCell ref="A16:F16"/>
    <mergeCell ref="A17:F17"/>
    <mergeCell ref="A3:F5"/>
    <mergeCell ref="A6:F6"/>
    <mergeCell ref="A9:F9"/>
    <mergeCell ref="A10:F10"/>
    <mergeCell ref="A8:F8"/>
    <mergeCell ref="A7:F7"/>
    <mergeCell ref="A15:F15"/>
    <mergeCell ref="A22:F22"/>
    <mergeCell ref="A1:N1"/>
    <mergeCell ref="A11:F11"/>
    <mergeCell ref="A14:F14"/>
    <mergeCell ref="A13:F13"/>
    <mergeCell ref="A12:F12"/>
    <mergeCell ref="I3:K3"/>
    <mergeCell ref="M4:N4"/>
    <mergeCell ref="L4:L5"/>
    <mergeCell ref="I4:I5"/>
    <mergeCell ref="J4:K4"/>
    <mergeCell ref="H3:H5"/>
    <mergeCell ref="G3:G5"/>
    <mergeCell ref="L3:N3"/>
    <mergeCell ref="A21:F21"/>
  </mergeCells>
  <dataValidations count="4">
    <dataValidation type="whole" operator="greaterThanOrEqual" allowBlank="1" showErrorMessage="1" error="Введите либо 0, либо целое положительное число." prompt="Введите либо 0, либо целое положительное число." sqref="M10 N9">
      <formula1>0</formula1>
    </dataValidation>
    <dataValidation type="whole" operator="greaterThanOrEqual" allowBlank="1" showErrorMessage="1" error="Введите либо 0, либо целое положительное число." sqref="M17:N21 M14:N15 J13:J15 J17:J21 M12">
      <formula1>0</formula1>
    </dataValidation>
    <dataValidation operator="greaterThanOrEqual" allowBlank="1" showErrorMessage="1" error="Введите либо 0, либо целое положительное число." prompt="Введите либо 0, либо целое положительное число." sqref="N10 M9 K10 J9:K9"/>
    <dataValidation operator="greaterThanOrEqual" allowBlank="1" showErrorMessage="1" error="Введите либо 0, либо целое положительное число." sqref="K13:K15 J10 K17:K21"/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ignoredErrors>
    <ignoredError sqref="G7:G14 G15:G22" numberStoredAsText="1"/>
    <ignoredError sqref="H16 L16 L7" formula="1"/>
    <ignoredError sqref="M21:N21 J2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showWhiteSpace="0" view="pageLayout" workbookViewId="0">
      <selection activeCell="I22" sqref="I22:J22"/>
    </sheetView>
  </sheetViews>
  <sheetFormatPr defaultRowHeight="15" x14ac:dyDescent="0.25"/>
  <cols>
    <col min="1" max="1" width="15.7109375" style="1" customWidth="1"/>
    <col min="2" max="2" width="16.5703125" style="1" customWidth="1"/>
    <col min="3" max="3" width="12.42578125" style="1" customWidth="1"/>
    <col min="4" max="4" width="11.42578125" style="1" customWidth="1"/>
    <col min="5" max="5" width="8.5703125" style="1" customWidth="1"/>
    <col min="6" max="6" width="7.85546875" style="1" customWidth="1"/>
    <col min="7" max="7" width="14.42578125" style="1" customWidth="1"/>
    <col min="8" max="8" width="14.140625" style="1" customWidth="1"/>
    <col min="9" max="9" width="14.28515625" style="1" customWidth="1"/>
    <col min="10" max="10" width="15.42578125" style="1" customWidth="1"/>
    <col min="11" max="16384" width="9.140625" style="1"/>
  </cols>
  <sheetData>
    <row r="1" spans="1:10" ht="15.75" x14ac:dyDescent="0.25">
      <c r="A1" s="179" t="s">
        <v>141</v>
      </c>
      <c r="B1" s="179"/>
      <c r="C1" s="179"/>
      <c r="D1" s="179"/>
      <c r="E1" s="179"/>
      <c r="F1" s="179"/>
      <c r="G1" s="179"/>
      <c r="H1" s="179"/>
      <c r="I1" s="179"/>
      <c r="J1" s="179"/>
    </row>
    <row r="3" spans="1:10" ht="45" customHeight="1" x14ac:dyDescent="0.25">
      <c r="A3" s="199" t="s">
        <v>91</v>
      </c>
      <c r="B3" s="199"/>
      <c r="C3" s="199" t="s">
        <v>92</v>
      </c>
      <c r="D3" s="199"/>
      <c r="E3" s="199" t="s">
        <v>93</v>
      </c>
      <c r="F3" s="199"/>
      <c r="G3" s="199" t="s">
        <v>96</v>
      </c>
      <c r="H3" s="199"/>
      <c r="I3" s="199" t="s">
        <v>114</v>
      </c>
      <c r="J3" s="199"/>
    </row>
    <row r="4" spans="1:10" x14ac:dyDescent="0.25">
      <c r="A4" s="185">
        <v>1</v>
      </c>
      <c r="B4" s="185"/>
      <c r="C4" s="185">
        <v>2</v>
      </c>
      <c r="D4" s="185"/>
      <c r="E4" s="185">
        <v>3</v>
      </c>
      <c r="F4" s="185"/>
      <c r="G4" s="185">
        <v>4</v>
      </c>
      <c r="H4" s="185"/>
      <c r="I4" s="185">
        <v>5</v>
      </c>
      <c r="J4" s="185"/>
    </row>
    <row r="5" spans="1:10" ht="45" customHeight="1" x14ac:dyDescent="0.25">
      <c r="A5" s="200" t="s">
        <v>94</v>
      </c>
      <c r="B5" s="200"/>
      <c r="C5" s="201">
        <v>8</v>
      </c>
      <c r="D5" s="201"/>
      <c r="E5" s="202">
        <f>'1'!E56</f>
        <v>178</v>
      </c>
      <c r="F5" s="202"/>
      <c r="G5" s="202">
        <v>0</v>
      </c>
      <c r="H5" s="202"/>
      <c r="I5" s="202">
        <v>0</v>
      </c>
      <c r="J5" s="202"/>
    </row>
    <row r="6" spans="1:10" ht="45" customHeight="1" x14ac:dyDescent="0.25">
      <c r="A6" s="200" t="s">
        <v>113</v>
      </c>
      <c r="B6" s="200"/>
      <c r="C6" s="201">
        <v>29</v>
      </c>
      <c r="D6" s="201"/>
      <c r="E6" s="203">
        <f>'1'!K56</f>
        <v>199</v>
      </c>
      <c r="F6" s="202"/>
      <c r="G6" s="202">
        <v>0</v>
      </c>
      <c r="H6" s="202"/>
      <c r="I6" s="202">
        <v>0</v>
      </c>
      <c r="J6" s="202"/>
    </row>
    <row r="9" spans="1:10" ht="15.75" x14ac:dyDescent="0.25">
      <c r="A9" s="179" t="s">
        <v>142</v>
      </c>
      <c r="B9" s="179"/>
      <c r="C9" s="179"/>
      <c r="D9" s="179"/>
      <c r="E9" s="179"/>
      <c r="F9" s="179"/>
      <c r="G9" s="179"/>
      <c r="H9" s="179"/>
      <c r="I9" s="179"/>
      <c r="J9" s="179"/>
    </row>
    <row r="11" spans="1:10" ht="15" customHeight="1" x14ac:dyDescent="0.25">
      <c r="A11" s="199" t="s">
        <v>115</v>
      </c>
      <c r="B11" s="199"/>
      <c r="C11" s="199"/>
      <c r="D11" s="199" t="s">
        <v>19</v>
      </c>
      <c r="E11" s="199"/>
      <c r="F11" s="199"/>
      <c r="G11" s="199" t="s">
        <v>282</v>
      </c>
      <c r="H11" s="199"/>
      <c r="I11" s="199"/>
      <c r="J11" s="199"/>
    </row>
    <row r="12" spans="1:10" ht="30" customHeight="1" x14ac:dyDescent="0.25">
      <c r="A12" s="199"/>
      <c r="B12" s="199"/>
      <c r="C12" s="199"/>
      <c r="D12" s="199"/>
      <c r="E12" s="199"/>
      <c r="F12" s="199"/>
      <c r="G12" s="199" t="s">
        <v>283</v>
      </c>
      <c r="H12" s="199"/>
      <c r="I12" s="199" t="s">
        <v>284</v>
      </c>
      <c r="J12" s="199"/>
    </row>
    <row r="13" spans="1:10" x14ac:dyDescent="0.25">
      <c r="A13" s="185">
        <v>1</v>
      </c>
      <c r="B13" s="185"/>
      <c r="C13" s="185"/>
      <c r="D13" s="185">
        <v>2</v>
      </c>
      <c r="E13" s="185"/>
      <c r="F13" s="185"/>
      <c r="G13" s="185">
        <v>3</v>
      </c>
      <c r="H13" s="185"/>
      <c r="I13" s="185">
        <v>4</v>
      </c>
      <c r="J13" s="185"/>
    </row>
    <row r="14" spans="1:10" x14ac:dyDescent="0.25">
      <c r="A14" s="204" t="s">
        <v>116</v>
      </c>
      <c r="B14" s="204"/>
      <c r="C14" s="204"/>
      <c r="D14" s="208">
        <v>0</v>
      </c>
      <c r="E14" s="208"/>
      <c r="F14" s="208"/>
      <c r="G14" s="208">
        <v>0</v>
      </c>
      <c r="H14" s="208"/>
      <c r="I14" s="208">
        <v>0</v>
      </c>
      <c r="J14" s="208"/>
    </row>
    <row r="15" spans="1:10" x14ac:dyDescent="0.25">
      <c r="A15" s="205" t="s">
        <v>117</v>
      </c>
      <c r="B15" s="206"/>
      <c r="C15" s="207"/>
      <c r="D15" s="208">
        <v>0</v>
      </c>
      <c r="E15" s="208"/>
      <c r="F15" s="208"/>
      <c r="G15" s="208">
        <v>0</v>
      </c>
      <c r="H15" s="208"/>
      <c r="I15" s="208">
        <v>0</v>
      </c>
      <c r="J15" s="208"/>
    </row>
    <row r="16" spans="1:10" x14ac:dyDescent="0.25">
      <c r="A16" s="205" t="s">
        <v>118</v>
      </c>
      <c r="B16" s="206"/>
      <c r="C16" s="207"/>
      <c r="D16" s="208">
        <v>0</v>
      </c>
      <c r="E16" s="208"/>
      <c r="F16" s="208"/>
      <c r="G16" s="208">
        <v>0</v>
      </c>
      <c r="H16" s="208"/>
      <c r="I16" s="208">
        <v>0</v>
      </c>
      <c r="J16" s="208"/>
    </row>
    <row r="17" spans="1:10" x14ac:dyDescent="0.25">
      <c r="A17" s="205" t="s">
        <v>119</v>
      </c>
      <c r="B17" s="206"/>
      <c r="C17" s="207"/>
      <c r="D17" s="208">
        <v>0</v>
      </c>
      <c r="E17" s="208"/>
      <c r="F17" s="208"/>
      <c r="G17" s="208">
        <v>0</v>
      </c>
      <c r="H17" s="208"/>
      <c r="I17" s="208">
        <v>0</v>
      </c>
      <c r="J17" s="208"/>
    </row>
    <row r="18" spans="1:10" x14ac:dyDescent="0.25">
      <c r="A18" s="205" t="s">
        <v>120</v>
      </c>
      <c r="B18" s="206"/>
      <c r="C18" s="207"/>
      <c r="D18" s="208">
        <v>0</v>
      </c>
      <c r="E18" s="208"/>
      <c r="F18" s="208"/>
      <c r="G18" s="208">
        <v>0</v>
      </c>
      <c r="H18" s="208"/>
      <c r="I18" s="208">
        <v>0</v>
      </c>
      <c r="J18" s="208"/>
    </row>
    <row r="19" spans="1:10" x14ac:dyDescent="0.25">
      <c r="A19" s="205" t="s">
        <v>121</v>
      </c>
      <c r="B19" s="206"/>
      <c r="C19" s="207"/>
      <c r="D19" s="208">
        <v>0</v>
      </c>
      <c r="E19" s="208"/>
      <c r="F19" s="208"/>
      <c r="G19" s="208">
        <v>0</v>
      </c>
      <c r="H19" s="208"/>
      <c r="I19" s="208">
        <v>0</v>
      </c>
      <c r="J19" s="208"/>
    </row>
    <row r="20" spans="1:10" x14ac:dyDescent="0.25">
      <c r="A20" s="205" t="s">
        <v>122</v>
      </c>
      <c r="B20" s="206"/>
      <c r="C20" s="207"/>
      <c r="D20" s="208">
        <v>0</v>
      </c>
      <c r="E20" s="208"/>
      <c r="F20" s="208"/>
      <c r="G20" s="208">
        <v>0</v>
      </c>
      <c r="H20" s="208"/>
      <c r="I20" s="208">
        <v>0</v>
      </c>
      <c r="J20" s="208"/>
    </row>
    <row r="21" spans="1:10" x14ac:dyDescent="0.25">
      <c r="A21" s="205" t="s">
        <v>123</v>
      </c>
      <c r="B21" s="206"/>
      <c r="C21" s="207"/>
      <c r="D21" s="208">
        <v>0</v>
      </c>
      <c r="E21" s="208"/>
      <c r="F21" s="208"/>
      <c r="G21" s="208">
        <v>0</v>
      </c>
      <c r="H21" s="208"/>
      <c r="I21" s="208">
        <v>0</v>
      </c>
      <c r="J21" s="208"/>
    </row>
    <row r="22" spans="1:10" x14ac:dyDescent="0.25">
      <c r="A22" s="205" t="s">
        <v>124</v>
      </c>
      <c r="B22" s="206"/>
      <c r="C22" s="207"/>
      <c r="D22" s="208">
        <v>0</v>
      </c>
      <c r="E22" s="208"/>
      <c r="F22" s="208"/>
      <c r="G22" s="208">
        <v>0</v>
      </c>
      <c r="H22" s="208"/>
      <c r="I22" s="208">
        <v>0</v>
      </c>
      <c r="J22" s="208"/>
    </row>
    <row r="23" spans="1:10" ht="15.75" x14ac:dyDescent="0.25">
      <c r="A23" s="209" t="s">
        <v>19</v>
      </c>
      <c r="B23" s="210"/>
      <c r="C23" s="211"/>
      <c r="D23" s="212">
        <f>SUM(D14:F22)</f>
        <v>0</v>
      </c>
      <c r="E23" s="212"/>
      <c r="F23" s="212"/>
      <c r="G23" s="212">
        <f>SUM(G14:H22)</f>
        <v>0</v>
      </c>
      <c r="H23" s="212"/>
      <c r="I23" s="212">
        <f>SUM(I14:J22)</f>
        <v>0</v>
      </c>
      <c r="J23" s="212"/>
    </row>
  </sheetData>
  <sheetProtection password="CC43" sheet="1" objects="1" scenarios="1" selectLockedCells="1"/>
  <mergeCells count="71">
    <mergeCell ref="D17:F17"/>
    <mergeCell ref="I22:J22"/>
    <mergeCell ref="I23:J23"/>
    <mergeCell ref="D11:F12"/>
    <mergeCell ref="A11:C12"/>
    <mergeCell ref="G11:J11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D18:F18"/>
    <mergeCell ref="D19:F19"/>
    <mergeCell ref="D20:F20"/>
    <mergeCell ref="A23:C23"/>
    <mergeCell ref="A22:C22"/>
    <mergeCell ref="D22:F22"/>
    <mergeCell ref="D23:F23"/>
    <mergeCell ref="D21:F21"/>
    <mergeCell ref="A17:C17"/>
    <mergeCell ref="A18:C18"/>
    <mergeCell ref="A19:C19"/>
    <mergeCell ref="A20:C20"/>
    <mergeCell ref="A21:C21"/>
    <mergeCell ref="A14:C14"/>
    <mergeCell ref="A15:C15"/>
    <mergeCell ref="A16:C16"/>
    <mergeCell ref="D14:F14"/>
    <mergeCell ref="D15:F15"/>
    <mergeCell ref="D16:F16"/>
    <mergeCell ref="A13:C13"/>
    <mergeCell ref="D13:F13"/>
    <mergeCell ref="A5:B5"/>
    <mergeCell ref="A6:B6"/>
    <mergeCell ref="C5:D5"/>
    <mergeCell ref="C6:D6"/>
    <mergeCell ref="E5:F5"/>
    <mergeCell ref="E6:F6"/>
    <mergeCell ref="A9:J9"/>
    <mergeCell ref="G5:H5"/>
    <mergeCell ref="G6:H6"/>
    <mergeCell ref="I5:J5"/>
    <mergeCell ref="I6:J6"/>
    <mergeCell ref="G12:H12"/>
    <mergeCell ref="G13:H13"/>
    <mergeCell ref="A1:J1"/>
    <mergeCell ref="I4:J4"/>
    <mergeCell ref="G4:H4"/>
    <mergeCell ref="E4:F4"/>
    <mergeCell ref="C4:D4"/>
    <mergeCell ref="A4:B4"/>
    <mergeCell ref="A3:B3"/>
    <mergeCell ref="C3:D3"/>
    <mergeCell ref="E3:F3"/>
    <mergeCell ref="G3:H3"/>
    <mergeCell ref="I3:J3"/>
  </mergeCells>
  <dataValidations count="3">
    <dataValidation type="whole" allowBlank="1" showErrorMessage="1" error="Введите либо 0, либо целое положительное число." sqref="D14:D22 G14:G22">
      <formula1>0</formula1>
      <formula2>15</formula2>
    </dataValidation>
    <dataValidation type="whole" allowBlank="1" showErrorMessage="1" error="Введите либо 0, либо целое положительное число." sqref="I14:I22">
      <formula1>0</formula1>
      <formula2>E14</formula2>
    </dataValidation>
    <dataValidation type="whole" allowBlank="1" showErrorMessage="1" error="Введите количество образовательных программ." sqref="C5:D6">
      <formula1>1</formula1>
      <formula2>50</formula2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WhiteSpace="0" view="pageLayout" workbookViewId="0">
      <selection activeCell="G7" sqref="G7"/>
    </sheetView>
  </sheetViews>
  <sheetFormatPr defaultRowHeight="15" x14ac:dyDescent="0.25"/>
  <cols>
    <col min="1" max="1" width="14.7109375" style="1" customWidth="1"/>
    <col min="2" max="2" width="16.140625" style="1" customWidth="1"/>
    <col min="3" max="3" width="13.140625" style="1" customWidth="1"/>
    <col min="4" max="4" width="9.85546875" style="1" customWidth="1"/>
    <col min="5" max="5" width="9.42578125" style="1" customWidth="1"/>
    <col min="6" max="6" width="10.140625" style="1" customWidth="1"/>
    <col min="7" max="7" width="9.140625" style="1"/>
    <col min="8" max="9" width="10.5703125" style="1" customWidth="1"/>
    <col min="10" max="16384" width="9.140625" style="1"/>
  </cols>
  <sheetData>
    <row r="1" spans="1:12" ht="15.75" x14ac:dyDescent="0.25">
      <c r="A1" s="179" t="s">
        <v>143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3" spans="1:12" ht="105" customHeight="1" x14ac:dyDescent="0.25">
      <c r="A3" s="223" t="s">
        <v>324</v>
      </c>
      <c r="B3" s="223" t="s">
        <v>97</v>
      </c>
      <c r="C3" s="223" t="s">
        <v>125</v>
      </c>
      <c r="D3" s="199" t="s">
        <v>285</v>
      </c>
      <c r="E3" s="199"/>
      <c r="F3" s="199"/>
      <c r="G3" s="199"/>
      <c r="H3" s="214" t="s">
        <v>129</v>
      </c>
      <c r="I3" s="215"/>
      <c r="J3" s="214" t="s">
        <v>128</v>
      </c>
      <c r="K3" s="220"/>
      <c r="L3" s="215"/>
    </row>
    <row r="4" spans="1:12" ht="15" customHeight="1" x14ac:dyDescent="0.25">
      <c r="A4" s="224"/>
      <c r="B4" s="224"/>
      <c r="C4" s="224"/>
      <c r="D4" s="199" t="s">
        <v>126</v>
      </c>
      <c r="E4" s="199"/>
      <c r="F4" s="199" t="s">
        <v>127</v>
      </c>
      <c r="G4" s="199"/>
      <c r="H4" s="216"/>
      <c r="I4" s="217"/>
      <c r="J4" s="216"/>
      <c r="K4" s="221"/>
      <c r="L4" s="217"/>
    </row>
    <row r="5" spans="1:12" x14ac:dyDescent="0.25">
      <c r="A5" s="225"/>
      <c r="B5" s="225"/>
      <c r="C5" s="225"/>
      <c r="D5" s="55" t="s">
        <v>286</v>
      </c>
      <c r="E5" s="55" t="s">
        <v>264</v>
      </c>
      <c r="F5" s="54" t="s">
        <v>286</v>
      </c>
      <c r="G5" s="54" t="s">
        <v>264</v>
      </c>
      <c r="H5" s="218"/>
      <c r="I5" s="219"/>
      <c r="J5" s="218"/>
      <c r="K5" s="222"/>
      <c r="L5" s="219"/>
    </row>
    <row r="6" spans="1:12" x14ac:dyDescent="0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227">
        <v>8</v>
      </c>
      <c r="I6" s="228"/>
      <c r="J6" s="227">
        <v>9</v>
      </c>
      <c r="K6" s="229"/>
      <c r="L6" s="228"/>
    </row>
    <row r="7" spans="1:12" x14ac:dyDescent="0.25">
      <c r="A7" s="6">
        <f>'4'!D23</f>
        <v>0</v>
      </c>
      <c r="B7" s="8">
        <v>0</v>
      </c>
      <c r="C7" s="8">
        <v>0</v>
      </c>
      <c r="D7" s="53">
        <v>1</v>
      </c>
      <c r="E7" s="53">
        <v>1</v>
      </c>
      <c r="F7" s="53">
        <v>3.4</v>
      </c>
      <c r="G7" s="53">
        <v>3.4</v>
      </c>
      <c r="H7" s="213">
        <v>0</v>
      </c>
      <c r="I7" s="213"/>
      <c r="J7" s="208">
        <v>1</v>
      </c>
      <c r="K7" s="208"/>
      <c r="L7" s="208"/>
    </row>
    <row r="9" spans="1:12" ht="15.75" x14ac:dyDescent="0.25">
      <c r="A9" s="179" t="s">
        <v>144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1" spans="1:12" x14ac:dyDescent="0.25">
      <c r="A11" s="55" t="s">
        <v>89</v>
      </c>
      <c r="B11" s="227" t="s">
        <v>130</v>
      </c>
      <c r="C11" s="229"/>
      <c r="D11" s="229"/>
      <c r="E11" s="229"/>
      <c r="F11" s="229"/>
      <c r="G11" s="228"/>
      <c r="H11" s="227" t="s">
        <v>131</v>
      </c>
      <c r="I11" s="229"/>
      <c r="J11" s="228"/>
      <c r="K11" s="227" t="s">
        <v>132</v>
      </c>
      <c r="L11" s="228"/>
    </row>
    <row r="12" spans="1:12" x14ac:dyDescent="0.25">
      <c r="A12" s="5" t="str">
        <f>IF(1&lt;=B7,1,"")</f>
        <v/>
      </c>
      <c r="B12" s="230"/>
      <c r="C12" s="230"/>
      <c r="D12" s="230"/>
      <c r="E12" s="230"/>
      <c r="F12" s="230"/>
      <c r="G12" s="230"/>
      <c r="H12" s="233"/>
      <c r="I12" s="233"/>
      <c r="J12" s="233"/>
      <c r="K12" s="233"/>
      <c r="L12" s="233"/>
    </row>
    <row r="13" spans="1:12" x14ac:dyDescent="0.25">
      <c r="A13" s="5" t="str">
        <f>IF(A12&lt;B7,2,"")</f>
        <v/>
      </c>
      <c r="B13" s="226"/>
      <c r="C13" s="226"/>
      <c r="D13" s="226"/>
      <c r="E13" s="226"/>
      <c r="F13" s="226"/>
      <c r="G13" s="226"/>
      <c r="H13" s="232"/>
      <c r="I13" s="232"/>
      <c r="J13" s="232"/>
      <c r="K13" s="231"/>
      <c r="L13" s="231"/>
    </row>
    <row r="14" spans="1:12" x14ac:dyDescent="0.25">
      <c r="A14" s="5" t="str">
        <f>IF(A13&lt;B7,3,"")</f>
        <v/>
      </c>
      <c r="B14" s="226"/>
      <c r="C14" s="226"/>
      <c r="D14" s="226"/>
      <c r="E14" s="226"/>
      <c r="F14" s="226"/>
      <c r="G14" s="226"/>
      <c r="H14" s="232"/>
      <c r="I14" s="232"/>
      <c r="J14" s="232"/>
      <c r="K14" s="231"/>
      <c r="L14" s="231"/>
    </row>
    <row r="15" spans="1:12" x14ac:dyDescent="0.25">
      <c r="A15" s="5" t="str">
        <f>IF(A14&lt;B7,4,"")</f>
        <v/>
      </c>
      <c r="B15" s="226"/>
      <c r="C15" s="226"/>
      <c r="D15" s="226"/>
      <c r="E15" s="226"/>
      <c r="F15" s="226"/>
      <c r="G15" s="226"/>
      <c r="H15" s="232"/>
      <c r="I15" s="232"/>
      <c r="J15" s="232"/>
      <c r="K15" s="231"/>
      <c r="L15" s="231"/>
    </row>
    <row r="16" spans="1:12" x14ac:dyDescent="0.25">
      <c r="A16" s="5" t="str">
        <f>IF(A15&lt;B7,5,"")</f>
        <v/>
      </c>
      <c r="B16" s="226"/>
      <c r="C16" s="226"/>
      <c r="D16" s="226"/>
      <c r="E16" s="226"/>
      <c r="F16" s="226"/>
      <c r="G16" s="226"/>
      <c r="H16" s="232"/>
      <c r="I16" s="232"/>
      <c r="J16" s="232"/>
      <c r="K16" s="231"/>
      <c r="L16" s="231"/>
    </row>
    <row r="17" spans="1:12" x14ac:dyDescent="0.25">
      <c r="A17" s="5" t="str">
        <f>IF(A16&lt;B7,6,"")</f>
        <v/>
      </c>
      <c r="B17" s="226"/>
      <c r="C17" s="226"/>
      <c r="D17" s="226"/>
      <c r="E17" s="226"/>
      <c r="F17" s="226"/>
      <c r="G17" s="226"/>
      <c r="H17" s="232"/>
      <c r="I17" s="232"/>
      <c r="J17" s="232"/>
      <c r="K17" s="231"/>
      <c r="L17" s="231"/>
    </row>
    <row r="18" spans="1:12" x14ac:dyDescent="0.25">
      <c r="A18" s="5" t="str">
        <f>IF(A17&lt;B7,7,"")</f>
        <v/>
      </c>
      <c r="B18" s="226"/>
      <c r="C18" s="226"/>
      <c r="D18" s="226"/>
      <c r="E18" s="226"/>
      <c r="F18" s="226"/>
      <c r="G18" s="226"/>
      <c r="H18" s="232"/>
      <c r="I18" s="232"/>
      <c r="J18" s="232"/>
      <c r="K18" s="231"/>
      <c r="L18" s="231"/>
    </row>
    <row r="19" spans="1:12" x14ac:dyDescent="0.25">
      <c r="A19" s="5" t="str">
        <f>IF(A18&lt;B7,8,"")</f>
        <v/>
      </c>
      <c r="B19" s="226"/>
      <c r="C19" s="226"/>
      <c r="D19" s="226"/>
      <c r="E19" s="226"/>
      <c r="F19" s="226"/>
      <c r="G19" s="226"/>
      <c r="H19" s="232"/>
      <c r="I19" s="232"/>
      <c r="J19" s="232"/>
      <c r="K19" s="231"/>
      <c r="L19" s="231"/>
    </row>
    <row r="20" spans="1:12" x14ac:dyDescent="0.25">
      <c r="A20" s="5" t="str">
        <f>IF(A19&lt;B7,9,"")</f>
        <v/>
      </c>
      <c r="B20" s="226"/>
      <c r="C20" s="226"/>
      <c r="D20" s="226"/>
      <c r="E20" s="226"/>
      <c r="F20" s="226"/>
      <c r="G20" s="226"/>
      <c r="H20" s="232"/>
      <c r="I20" s="232"/>
      <c r="J20" s="232"/>
      <c r="K20" s="231"/>
      <c r="L20" s="231"/>
    </row>
    <row r="21" spans="1:12" x14ac:dyDescent="0.25">
      <c r="A21" s="5" t="str">
        <f>IF(A20&lt;B7,10,"")</f>
        <v/>
      </c>
      <c r="B21" s="226"/>
      <c r="C21" s="226"/>
      <c r="D21" s="226"/>
      <c r="E21" s="226"/>
      <c r="F21" s="226"/>
      <c r="G21" s="226"/>
      <c r="H21" s="232"/>
      <c r="I21" s="232"/>
      <c r="J21" s="232"/>
      <c r="K21" s="231"/>
      <c r="L21" s="231"/>
    </row>
    <row r="22" spans="1:12" x14ac:dyDescent="0.2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x14ac:dyDescent="0.2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x14ac:dyDescent="0.2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x14ac:dyDescent="0.2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x14ac:dyDescent="0.2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</sheetData>
  <sheetProtection password="CC43" sheet="1" objects="1" scenarios="1" selectLockedCells="1"/>
  <mergeCells count="47">
    <mergeCell ref="H12:J12"/>
    <mergeCell ref="H13:J13"/>
    <mergeCell ref="H14:J14"/>
    <mergeCell ref="H15:J15"/>
    <mergeCell ref="H16:J16"/>
    <mergeCell ref="K12:L12"/>
    <mergeCell ref="K13:L13"/>
    <mergeCell ref="K14:L14"/>
    <mergeCell ref="K15:L15"/>
    <mergeCell ref="K16:L16"/>
    <mergeCell ref="K21:L21"/>
    <mergeCell ref="H17:J17"/>
    <mergeCell ref="H18:J18"/>
    <mergeCell ref="H19:J19"/>
    <mergeCell ref="H20:J20"/>
    <mergeCell ref="H21:J21"/>
    <mergeCell ref="B16:G16"/>
    <mergeCell ref="K17:L17"/>
    <mergeCell ref="K18:L18"/>
    <mergeCell ref="K19:L19"/>
    <mergeCell ref="K20:L20"/>
    <mergeCell ref="B21:G21"/>
    <mergeCell ref="A9:L9"/>
    <mergeCell ref="J7:L7"/>
    <mergeCell ref="H6:I6"/>
    <mergeCell ref="J6:L6"/>
    <mergeCell ref="H11:J11"/>
    <mergeCell ref="K11:L11"/>
    <mergeCell ref="B17:G17"/>
    <mergeCell ref="B11:G11"/>
    <mergeCell ref="B18:G18"/>
    <mergeCell ref="B19:G19"/>
    <mergeCell ref="B20:G20"/>
    <mergeCell ref="B12:G12"/>
    <mergeCell ref="B13:G13"/>
    <mergeCell ref="B14:G14"/>
    <mergeCell ref="B15:G15"/>
    <mergeCell ref="A1:L1"/>
    <mergeCell ref="H7:I7"/>
    <mergeCell ref="D3:G3"/>
    <mergeCell ref="D4:E4"/>
    <mergeCell ref="F4:G4"/>
    <mergeCell ref="H3:I5"/>
    <mergeCell ref="J3:L5"/>
    <mergeCell ref="B3:B5"/>
    <mergeCell ref="C3:C5"/>
    <mergeCell ref="A3:A5"/>
  </mergeCells>
  <conditionalFormatting sqref="A12:A21">
    <cfRule type="cellIs" dxfId="48" priority="14" operator="between">
      <formula>0</formula>
      <formula>$B$7</formula>
    </cfRule>
  </conditionalFormatting>
  <conditionalFormatting sqref="H12:J21">
    <cfRule type="cellIs" dxfId="47" priority="3" operator="greaterThan">
      <formula>0</formula>
    </cfRule>
  </conditionalFormatting>
  <conditionalFormatting sqref="K12:L21">
    <cfRule type="cellIs" dxfId="46" priority="2" operator="greaterThan">
      <formula>0</formula>
    </cfRule>
  </conditionalFormatting>
  <conditionalFormatting sqref="B12:G21">
    <cfRule type="cellIs" dxfId="45" priority="1" operator="greaterThan">
      <formula>0</formula>
    </cfRule>
  </conditionalFormatting>
  <dataValidations count="6">
    <dataValidation type="whole" allowBlank="1" showErrorMessage="1" error="Введите либо 1, либо 0." sqref="H7:L7">
      <formula1>0</formula1>
      <formula2>1</formula2>
    </dataValidation>
    <dataValidation type="whole" allowBlank="1" showErrorMessage="1" error="Введите либо 0, либо целое положительное число." sqref="C7">
      <formula1>0</formula1>
      <formula2>B7</formula2>
    </dataValidation>
    <dataValidation type="whole" allowBlank="1" showErrorMessage="1" error="Введите целое положительное число." sqref="D7:E7">
      <formula1>0</formula1>
      <formula2>100</formula2>
    </dataValidation>
    <dataValidation type="decimal" allowBlank="1" showErrorMessage="1" error="Введите положительное действительное число." sqref="F7:G7">
      <formula1>0</formula1>
      <formula2>100</formula2>
    </dataValidation>
    <dataValidation type="list" allowBlank="1" showErrorMessage="1" error="Выберите срок реализации адаптированной программы из предлагаемого списка." sqref="K12:K21">
      <formula1>"1 год, 2 года, 3 года, 4 года, 5 лет, 6 лет, 7 лет, 8 лет"</formula1>
    </dataValidation>
    <dataValidation type="list" allowBlank="1" showErrorMessage="1" error="Выберите вид программы из списка." sqref="H12:J21">
      <formula1>"Предпрофессиональная, Общеразвивающая"</formula1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ErrorMessage="1" error="Введите либо 0, либо целое положительное число.">
          <x14:formula1>
            <xm:f>0</xm:f>
          </x14:formula1>
          <x14:formula2>
            <xm:f>'4'!C5+'4'!C6</xm:f>
          </x14:formula2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O31"/>
  <sheetViews>
    <sheetView showWhiteSpace="0" view="pageLayout" workbookViewId="0">
      <selection activeCell="C7" sqref="C7"/>
    </sheetView>
  </sheetViews>
  <sheetFormatPr defaultRowHeight="15" x14ac:dyDescent="0.25"/>
  <cols>
    <col min="1" max="1" width="26.7109375" style="79" customWidth="1"/>
    <col min="2" max="5" width="26" style="79" customWidth="1"/>
    <col min="6" max="6" width="15.140625" style="79" customWidth="1"/>
    <col min="7" max="7" width="22.85546875" style="79" customWidth="1"/>
    <col min="8" max="8" width="10.7109375" style="79" customWidth="1"/>
    <col min="9" max="9" width="15" style="79" customWidth="1"/>
    <col min="10" max="10" width="10.140625" style="79" customWidth="1"/>
    <col min="11" max="11" width="10.85546875" style="79" customWidth="1"/>
    <col min="12" max="13" width="9.7109375" style="79" customWidth="1"/>
    <col min="14" max="15" width="12" style="79" customWidth="1"/>
    <col min="16" max="16384" width="9.140625" style="79"/>
  </cols>
  <sheetData>
    <row r="1" spans="1:15" ht="15.75" x14ac:dyDescent="0.25">
      <c r="A1" s="174" t="s">
        <v>316</v>
      </c>
      <c r="B1" s="174"/>
      <c r="C1" s="174"/>
      <c r="D1" s="174"/>
      <c r="E1" s="174"/>
      <c r="F1" s="96"/>
      <c r="G1" s="96"/>
      <c r="H1" s="96"/>
      <c r="I1" s="97"/>
      <c r="J1" s="97"/>
      <c r="K1" s="97"/>
      <c r="L1" s="97"/>
      <c r="M1" s="97"/>
      <c r="N1" s="97"/>
      <c r="O1" s="97"/>
    </row>
    <row r="3" spans="1:15" ht="67.5" customHeight="1" x14ac:dyDescent="0.25">
      <c r="A3" s="235" t="s">
        <v>311</v>
      </c>
      <c r="B3" s="110" t="s">
        <v>312</v>
      </c>
      <c r="C3" s="110" t="s">
        <v>313</v>
      </c>
      <c r="D3" s="110" t="s">
        <v>314</v>
      </c>
      <c r="E3" s="110" t="s">
        <v>315</v>
      </c>
      <c r="F3" s="102"/>
      <c r="G3" s="102"/>
      <c r="H3" s="102"/>
      <c r="I3" s="102"/>
    </row>
    <row r="4" spans="1:15" ht="18.75" customHeight="1" x14ac:dyDescent="0.25">
      <c r="A4" s="236"/>
      <c r="B4" s="108">
        <f>'2'!G51</f>
        <v>0</v>
      </c>
      <c r="C4" s="108">
        <f>'2'!M51</f>
        <v>19</v>
      </c>
      <c r="D4" s="108">
        <f>'2'!L51-'2'!M51</f>
        <v>12</v>
      </c>
      <c r="E4" s="108">
        <f>B4+C4+D4</f>
        <v>31</v>
      </c>
      <c r="F4" s="102"/>
      <c r="G4" s="102"/>
      <c r="H4" s="102"/>
      <c r="I4" s="102"/>
    </row>
    <row r="5" spans="1:15" x14ac:dyDescent="0.25">
      <c r="A5" s="102"/>
      <c r="B5" s="102"/>
      <c r="C5" s="102"/>
      <c r="D5" s="102"/>
      <c r="E5" s="102"/>
      <c r="F5" s="102"/>
      <c r="G5" s="102"/>
      <c r="H5" s="102"/>
      <c r="I5" s="102"/>
    </row>
    <row r="6" spans="1:15" ht="105" customHeight="1" x14ac:dyDescent="0.25">
      <c r="A6" s="234" t="s">
        <v>317</v>
      </c>
      <c r="B6" s="110" t="s">
        <v>318</v>
      </c>
      <c r="C6" s="110" t="s">
        <v>330</v>
      </c>
      <c r="D6" s="110" t="s">
        <v>320</v>
      </c>
      <c r="E6" s="110" t="s">
        <v>321</v>
      </c>
      <c r="F6" s="102"/>
      <c r="G6" s="102"/>
      <c r="H6" s="102"/>
      <c r="I6" s="102"/>
    </row>
    <row r="7" spans="1:15" ht="18.75" customHeight="1" x14ac:dyDescent="0.25">
      <c r="A7" s="234"/>
      <c r="B7" s="106">
        <v>0</v>
      </c>
      <c r="C7" s="106">
        <v>25</v>
      </c>
      <c r="D7" s="106">
        <v>96</v>
      </c>
      <c r="E7" s="107">
        <f>B7+C7+D7</f>
        <v>121</v>
      </c>
      <c r="F7" s="102"/>
      <c r="G7" s="102"/>
      <c r="H7" s="102"/>
      <c r="I7" s="102"/>
    </row>
    <row r="8" spans="1:15" x14ac:dyDescent="0.25">
      <c r="A8" s="102"/>
      <c r="B8" s="102"/>
      <c r="C8" s="102"/>
      <c r="D8" s="102"/>
      <c r="E8" s="102"/>
      <c r="F8" s="102"/>
      <c r="G8" s="102"/>
      <c r="H8" s="102"/>
      <c r="I8" s="102"/>
    </row>
    <row r="9" spans="1:15" ht="52.5" customHeight="1" x14ac:dyDescent="0.25">
      <c r="A9" s="234" t="s">
        <v>322</v>
      </c>
      <c r="B9" s="110" t="s">
        <v>318</v>
      </c>
      <c r="C9" s="110" t="s">
        <v>319</v>
      </c>
      <c r="D9" s="110" t="s">
        <v>320</v>
      </c>
      <c r="E9" s="110" t="s">
        <v>323</v>
      </c>
      <c r="F9" s="102"/>
      <c r="G9" s="102"/>
      <c r="H9" s="102"/>
      <c r="I9" s="102"/>
    </row>
    <row r="10" spans="1:15" ht="18.75" customHeight="1" x14ac:dyDescent="0.25">
      <c r="A10" s="234"/>
      <c r="B10" s="105">
        <f>IF(B7&gt;0,B4/B7*100,0)</f>
        <v>0</v>
      </c>
      <c r="C10" s="105">
        <f>IF(C7&gt;0,C4/C7*100,0)</f>
        <v>76</v>
      </c>
      <c r="D10" s="105">
        <f>IF(D7&gt;0,D4/D7*100,0)</f>
        <v>12.5</v>
      </c>
      <c r="E10" s="105">
        <f>IF(E7&gt;0,E4/E7*100,0)</f>
        <v>25.619834710743799</v>
      </c>
      <c r="F10" s="102"/>
      <c r="G10" s="102"/>
      <c r="H10" s="102"/>
      <c r="I10" s="102"/>
    </row>
    <row r="11" spans="1:15" x14ac:dyDescent="0.25">
      <c r="A11" s="102"/>
      <c r="B11" s="102"/>
      <c r="C11" s="102"/>
      <c r="D11" s="102"/>
      <c r="E11" s="102"/>
      <c r="F11" s="102"/>
      <c r="G11" s="102"/>
      <c r="H11" s="102"/>
      <c r="I11" s="102"/>
    </row>
    <row r="12" spans="1:15" x14ac:dyDescent="0.25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15" x14ac:dyDescent="0.25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15" x14ac:dyDescent="0.2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15" x14ac:dyDescent="0.25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15" x14ac:dyDescent="0.25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x14ac:dyDescent="0.2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x14ac:dyDescent="0.25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x14ac:dyDescent="0.2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x14ac:dyDescent="0.25">
      <c r="A20" s="102"/>
      <c r="B20" s="102"/>
      <c r="C20" s="102"/>
      <c r="D20" s="102"/>
      <c r="E20" s="102"/>
      <c r="F20" s="102"/>
      <c r="G20" s="102"/>
      <c r="H20" s="102"/>
      <c r="I20" s="102"/>
    </row>
    <row r="21" spans="1:9" x14ac:dyDescent="0.25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x14ac:dyDescent="0.25">
      <c r="A22" s="102"/>
      <c r="B22" s="102"/>
      <c r="C22" s="102"/>
      <c r="D22" s="102"/>
      <c r="E22" s="102"/>
      <c r="F22" s="102"/>
      <c r="G22" s="102"/>
      <c r="H22" s="102"/>
      <c r="I22" s="102"/>
    </row>
    <row r="23" spans="1:9" x14ac:dyDescent="0.25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x14ac:dyDescent="0.2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x14ac:dyDescent="0.25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x14ac:dyDescent="0.25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x14ac:dyDescent="0.25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x14ac:dyDescent="0.25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x14ac:dyDescent="0.25">
      <c r="A29" s="102"/>
      <c r="B29" s="102"/>
      <c r="C29" s="102"/>
      <c r="D29" s="102"/>
      <c r="E29" s="102"/>
      <c r="F29" s="102"/>
      <c r="G29" s="102"/>
      <c r="H29" s="102"/>
      <c r="I29" s="102"/>
    </row>
    <row r="30" spans="1:9" x14ac:dyDescent="0.25">
      <c r="A30" s="102"/>
      <c r="B30" s="102"/>
      <c r="C30" s="102"/>
      <c r="D30" s="102"/>
      <c r="E30" s="102"/>
      <c r="F30" s="102"/>
      <c r="G30" s="102"/>
      <c r="H30" s="102"/>
      <c r="I30" s="102"/>
    </row>
    <row r="31" spans="1:9" x14ac:dyDescent="0.25">
      <c r="A31" s="102"/>
      <c r="B31" s="102"/>
      <c r="C31" s="102"/>
      <c r="D31" s="102"/>
      <c r="E31" s="102"/>
      <c r="F31" s="102"/>
      <c r="G31" s="102"/>
      <c r="H31" s="102"/>
      <c r="I31" s="102"/>
    </row>
  </sheetData>
  <sheetProtection password="CC43" sheet="1" objects="1" scenarios="1" selectLockedCells="1"/>
  <mergeCells count="4">
    <mergeCell ref="A6:A7"/>
    <mergeCell ref="A9:A10"/>
    <mergeCell ref="A1:E1"/>
    <mergeCell ref="A3:A4"/>
  </mergeCell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WhiteSpace="0" view="pageLayout" workbookViewId="0">
      <selection activeCell="B7" sqref="B7"/>
    </sheetView>
  </sheetViews>
  <sheetFormatPr defaultRowHeight="15" x14ac:dyDescent="0.25"/>
  <cols>
    <col min="1" max="1" width="4.28515625" style="79" customWidth="1"/>
    <col min="2" max="2" width="40" style="79" customWidth="1"/>
    <col min="3" max="3" width="50.7109375" style="79" customWidth="1"/>
    <col min="4" max="4" width="35.7109375" style="79" customWidth="1"/>
    <col min="5" max="5" width="10.140625" style="79" customWidth="1"/>
    <col min="6" max="6" width="10.85546875" style="79" customWidth="1"/>
    <col min="7" max="8" width="9.7109375" style="79" customWidth="1"/>
    <col min="9" max="10" width="12" style="79" customWidth="1"/>
    <col min="11" max="16384" width="9.140625" style="79"/>
  </cols>
  <sheetData>
    <row r="1" spans="1:10" ht="15.75" x14ac:dyDescent="0.25">
      <c r="A1" s="174" t="s">
        <v>310</v>
      </c>
      <c r="B1" s="174"/>
      <c r="C1" s="174"/>
      <c r="D1" s="174"/>
      <c r="E1" s="96"/>
      <c r="F1" s="96"/>
      <c r="G1" s="96"/>
      <c r="H1" s="97"/>
      <c r="I1" s="97"/>
      <c r="J1" s="97"/>
    </row>
    <row r="2" spans="1:10" ht="15.75" x14ac:dyDescent="0.25">
      <c r="A2" s="98"/>
      <c r="B2" s="98"/>
      <c r="C2" s="98"/>
      <c r="D2" s="98"/>
      <c r="E2" s="97"/>
      <c r="F2" s="97"/>
      <c r="G2" s="97"/>
      <c r="H2" s="97"/>
      <c r="I2" s="97"/>
      <c r="J2" s="97"/>
    </row>
    <row r="3" spans="1:10" ht="15.75" x14ac:dyDescent="0.25">
      <c r="A3" s="104">
        <v>0</v>
      </c>
      <c r="B3" s="237" t="s">
        <v>307</v>
      </c>
      <c r="C3" s="237"/>
      <c r="D3" s="237"/>
      <c r="E3" s="96"/>
      <c r="F3" s="96"/>
      <c r="G3" s="96"/>
      <c r="H3" s="97"/>
      <c r="I3" s="97"/>
      <c r="J3" s="97"/>
    </row>
    <row r="4" spans="1:10" ht="15.75" x14ac:dyDescent="0.25">
      <c r="A4" s="104">
        <v>0</v>
      </c>
      <c r="B4" s="237" t="s">
        <v>308</v>
      </c>
      <c r="C4" s="237"/>
      <c r="D4" s="237"/>
      <c r="E4" s="96"/>
      <c r="F4" s="96"/>
      <c r="G4" s="96"/>
      <c r="H4" s="97"/>
      <c r="I4" s="97"/>
      <c r="J4" s="97"/>
    </row>
    <row r="6" spans="1:10" x14ac:dyDescent="0.25">
      <c r="A6" s="99" t="s">
        <v>89</v>
      </c>
      <c r="B6" s="100" t="s">
        <v>309</v>
      </c>
      <c r="C6" s="100" t="s">
        <v>88</v>
      </c>
      <c r="D6" s="101" t="s">
        <v>87</v>
      </c>
      <c r="E6" s="102"/>
    </row>
    <row r="7" spans="1:10" ht="15" customHeight="1" x14ac:dyDescent="0.25">
      <c r="A7" s="95" t="str">
        <f>IF(1&lt;=A3+A4,1,"")</f>
        <v/>
      </c>
      <c r="B7" s="92"/>
      <c r="C7" s="92"/>
      <c r="D7" s="92"/>
      <c r="E7" s="103"/>
    </row>
    <row r="8" spans="1:10" x14ac:dyDescent="0.25">
      <c r="A8" s="95" t="str">
        <f>IF(A7&lt;A3+A4,2,"")</f>
        <v/>
      </c>
      <c r="B8" s="93"/>
      <c r="C8" s="93"/>
      <c r="D8" s="93"/>
      <c r="E8" s="103"/>
    </row>
    <row r="9" spans="1:10" x14ac:dyDescent="0.25">
      <c r="A9" s="95" t="str">
        <f>IF(A8&lt;A3+A4,3,"")</f>
        <v/>
      </c>
      <c r="B9" s="93"/>
      <c r="C9" s="93"/>
      <c r="D9" s="93"/>
      <c r="E9" s="103"/>
    </row>
    <row r="10" spans="1:10" x14ac:dyDescent="0.25">
      <c r="A10" s="95" t="str">
        <f>IF(A9&lt;A3+A4,4,"")</f>
        <v/>
      </c>
      <c r="B10" s="93"/>
      <c r="C10" s="93"/>
      <c r="D10" s="93"/>
      <c r="E10" s="103"/>
    </row>
    <row r="11" spans="1:10" x14ac:dyDescent="0.25">
      <c r="A11" s="95" t="str">
        <f>IF(A10&lt;A3+A4,5,"")</f>
        <v/>
      </c>
      <c r="B11" s="93"/>
      <c r="C11" s="93"/>
      <c r="D11" s="93"/>
      <c r="E11" s="103"/>
    </row>
    <row r="12" spans="1:10" x14ac:dyDescent="0.25">
      <c r="A12" s="95" t="str">
        <f>IF(A11&lt;A3+A4,6,"")</f>
        <v/>
      </c>
      <c r="B12" s="93"/>
      <c r="C12" s="93"/>
      <c r="D12" s="93"/>
      <c r="E12" s="103"/>
    </row>
    <row r="13" spans="1:10" x14ac:dyDescent="0.25">
      <c r="A13" s="65" t="str">
        <f>IF(A12&lt;A3+A4,7,"")</f>
        <v/>
      </c>
      <c r="B13" s="93"/>
      <c r="C13" s="93"/>
      <c r="D13" s="93"/>
      <c r="E13" s="103"/>
    </row>
    <row r="14" spans="1:10" x14ac:dyDescent="0.25">
      <c r="A14" s="65" t="str">
        <f>IF(A13&lt;A3+A4,8,"")</f>
        <v/>
      </c>
      <c r="B14" s="91"/>
      <c r="C14" s="91"/>
      <c r="D14" s="91"/>
      <c r="E14" s="103"/>
    </row>
    <row r="15" spans="1:10" x14ac:dyDescent="0.25">
      <c r="A15" s="65" t="str">
        <f>IF(A14&lt;A3+A4,9,"")</f>
        <v/>
      </c>
      <c r="B15" s="91"/>
      <c r="C15" s="91"/>
      <c r="D15" s="91"/>
      <c r="E15" s="103"/>
    </row>
    <row r="16" spans="1:10" x14ac:dyDescent="0.25">
      <c r="A16" s="65" t="str">
        <f>IF(A15&lt;A3+A4,10,"")</f>
        <v/>
      </c>
      <c r="B16" s="91"/>
      <c r="C16" s="91"/>
      <c r="D16" s="91"/>
      <c r="E16" s="103"/>
    </row>
    <row r="17" spans="1:5" x14ac:dyDescent="0.25">
      <c r="A17" s="65" t="str">
        <f>IF(A16&lt;A3+A4,11,"")</f>
        <v/>
      </c>
      <c r="B17" s="91"/>
      <c r="C17" s="91"/>
      <c r="D17" s="91"/>
      <c r="E17" s="103"/>
    </row>
    <row r="18" spans="1:5" x14ac:dyDescent="0.25">
      <c r="A18" s="65" t="str">
        <f>IF(A17&lt;A3+A4,12,"")</f>
        <v/>
      </c>
      <c r="B18" s="91"/>
      <c r="C18" s="91"/>
      <c r="D18" s="91"/>
      <c r="E18" s="103"/>
    </row>
    <row r="19" spans="1:5" x14ac:dyDescent="0.25">
      <c r="A19" s="65" t="str">
        <f>IF(A18&lt;A3+A4,13,"")</f>
        <v/>
      </c>
      <c r="B19" s="91"/>
      <c r="C19" s="91"/>
      <c r="D19" s="91"/>
      <c r="E19" s="103"/>
    </row>
    <row r="20" spans="1:5" x14ac:dyDescent="0.25">
      <c r="A20" s="65" t="str">
        <f>IF(A19&lt;A3+A4,14,"")</f>
        <v/>
      </c>
      <c r="B20" s="91"/>
      <c r="C20" s="91"/>
      <c r="D20" s="91"/>
      <c r="E20" s="103"/>
    </row>
    <row r="21" spans="1:5" x14ac:dyDescent="0.25">
      <c r="A21" s="65" t="str">
        <f>IF(A20&lt;A3+A4,15,"")</f>
        <v/>
      </c>
      <c r="B21" s="91"/>
      <c r="C21" s="91"/>
      <c r="D21" s="91"/>
      <c r="E21" s="103"/>
    </row>
    <row r="22" spans="1:5" x14ac:dyDescent="0.25">
      <c r="A22" s="65" t="str">
        <f>IF(A21&lt;A3+A4,16,"")</f>
        <v/>
      </c>
      <c r="B22" s="91"/>
      <c r="C22" s="91"/>
      <c r="D22" s="91"/>
      <c r="E22" s="103"/>
    </row>
    <row r="23" spans="1:5" x14ac:dyDescent="0.25">
      <c r="A23" s="65" t="str">
        <f>IF(A22&lt;A3+A4,17,"")</f>
        <v/>
      </c>
      <c r="B23" s="91"/>
      <c r="C23" s="91"/>
      <c r="D23" s="91"/>
      <c r="E23" s="103"/>
    </row>
    <row r="24" spans="1:5" x14ac:dyDescent="0.25">
      <c r="A24" s="65" t="str">
        <f>IF(A23&lt;A3+A4,18,"")</f>
        <v/>
      </c>
      <c r="B24" s="91"/>
      <c r="C24" s="91"/>
      <c r="D24" s="91"/>
      <c r="E24" s="103"/>
    </row>
    <row r="25" spans="1:5" x14ac:dyDescent="0.25">
      <c r="A25" s="65" t="str">
        <f>IF(A24&lt;A3+A4,19,"")</f>
        <v/>
      </c>
      <c r="B25" s="91"/>
      <c r="C25" s="91"/>
      <c r="D25" s="91"/>
      <c r="E25" s="103"/>
    </row>
    <row r="26" spans="1:5" x14ac:dyDescent="0.25">
      <c r="A26" s="65" t="str">
        <f>IF(A25&lt;A3+A4,20,"")</f>
        <v/>
      </c>
      <c r="B26" s="91"/>
      <c r="C26" s="91"/>
      <c r="D26" s="91"/>
      <c r="E26" s="103"/>
    </row>
    <row r="27" spans="1:5" x14ac:dyDescent="0.25">
      <c r="A27" s="65" t="str">
        <f>IF(A26&lt;A3+A4,21,"")</f>
        <v/>
      </c>
      <c r="B27" s="91"/>
      <c r="C27" s="91"/>
      <c r="D27" s="91"/>
      <c r="E27" s="103"/>
    </row>
    <row r="28" spans="1:5" x14ac:dyDescent="0.25">
      <c r="A28" s="65" t="str">
        <f>IF(A27&lt;A3+A4,22,"")</f>
        <v/>
      </c>
      <c r="B28" s="91"/>
      <c r="C28" s="91"/>
      <c r="D28" s="91"/>
      <c r="E28" s="103"/>
    </row>
    <row r="29" spans="1:5" x14ac:dyDescent="0.25">
      <c r="A29" s="65" t="str">
        <f>IF(A28&lt;A3+A4,23,"")</f>
        <v/>
      </c>
      <c r="B29" s="91"/>
      <c r="C29" s="91"/>
      <c r="D29" s="91"/>
    </row>
    <row r="30" spans="1:5" x14ac:dyDescent="0.25">
      <c r="A30" s="65" t="str">
        <f>IF(A29&lt;A3+A4,24,"")</f>
        <v/>
      </c>
      <c r="B30" s="91"/>
      <c r="C30" s="91"/>
      <c r="D30" s="91"/>
    </row>
    <row r="31" spans="1:5" x14ac:dyDescent="0.25">
      <c r="A31" s="65" t="str">
        <f>IF(A30&lt;A3+A4,25,"")</f>
        <v/>
      </c>
      <c r="B31" s="91"/>
      <c r="C31" s="91"/>
      <c r="D31" s="91"/>
    </row>
    <row r="32" spans="1:5" x14ac:dyDescent="0.25">
      <c r="A32" s="102"/>
      <c r="B32" s="102"/>
      <c r="C32" s="102"/>
      <c r="D32" s="102"/>
    </row>
    <row r="33" spans="1:4" x14ac:dyDescent="0.25">
      <c r="A33" s="102"/>
      <c r="B33" s="102"/>
      <c r="C33" s="102"/>
      <c r="D33" s="102"/>
    </row>
    <row r="34" spans="1:4" x14ac:dyDescent="0.25">
      <c r="A34" s="102"/>
      <c r="B34" s="102"/>
      <c r="C34" s="102"/>
      <c r="D34" s="102"/>
    </row>
    <row r="35" spans="1:4" x14ac:dyDescent="0.25">
      <c r="A35" s="102"/>
      <c r="B35" s="102"/>
      <c r="C35" s="102"/>
      <c r="D35" s="102"/>
    </row>
    <row r="36" spans="1:4" x14ac:dyDescent="0.25">
      <c r="A36" s="102"/>
      <c r="B36" s="102"/>
      <c r="C36" s="102"/>
      <c r="D36" s="102"/>
    </row>
    <row r="37" spans="1:4" x14ac:dyDescent="0.25">
      <c r="A37" s="102"/>
      <c r="B37" s="102"/>
      <c r="C37" s="102"/>
      <c r="D37" s="102"/>
    </row>
    <row r="38" spans="1:4" x14ac:dyDescent="0.25">
      <c r="A38" s="102"/>
      <c r="B38" s="102"/>
      <c r="C38" s="102"/>
      <c r="D38" s="102"/>
    </row>
    <row r="39" spans="1:4" x14ac:dyDescent="0.25">
      <c r="A39" s="102"/>
      <c r="B39" s="102"/>
      <c r="C39" s="102"/>
      <c r="D39" s="102"/>
    </row>
    <row r="40" spans="1:4" x14ac:dyDescent="0.25">
      <c r="A40" s="102"/>
      <c r="B40" s="102"/>
      <c r="C40" s="102"/>
      <c r="D40" s="102"/>
    </row>
    <row r="41" spans="1:4" x14ac:dyDescent="0.25">
      <c r="A41" s="102"/>
      <c r="B41" s="102"/>
      <c r="C41" s="102"/>
      <c r="D41" s="102"/>
    </row>
    <row r="42" spans="1:4" x14ac:dyDescent="0.25">
      <c r="A42" s="102"/>
      <c r="B42" s="102"/>
      <c r="C42" s="102"/>
      <c r="D42" s="102"/>
    </row>
    <row r="43" spans="1:4" x14ac:dyDescent="0.25">
      <c r="A43" s="102"/>
      <c r="B43" s="102"/>
      <c r="C43" s="102"/>
      <c r="D43" s="102"/>
    </row>
    <row r="44" spans="1:4" x14ac:dyDescent="0.25">
      <c r="A44" s="102"/>
      <c r="B44" s="102"/>
      <c r="C44" s="102"/>
      <c r="D44" s="102"/>
    </row>
    <row r="45" spans="1:4" x14ac:dyDescent="0.25">
      <c r="A45" s="102"/>
      <c r="B45" s="102"/>
      <c r="C45" s="102"/>
      <c r="D45" s="102"/>
    </row>
    <row r="46" spans="1:4" x14ac:dyDescent="0.25">
      <c r="A46" s="102"/>
      <c r="B46" s="102"/>
      <c r="C46" s="102"/>
      <c r="D46" s="102"/>
    </row>
    <row r="47" spans="1:4" x14ac:dyDescent="0.25">
      <c r="A47" s="102"/>
      <c r="B47" s="102"/>
      <c r="C47" s="102"/>
      <c r="D47" s="102"/>
    </row>
    <row r="48" spans="1:4" x14ac:dyDescent="0.25">
      <c r="A48" s="102"/>
      <c r="B48" s="102"/>
      <c r="C48" s="102"/>
      <c r="D48" s="102"/>
    </row>
    <row r="49" spans="1:4" x14ac:dyDescent="0.25">
      <c r="A49" s="102"/>
      <c r="B49" s="102"/>
      <c r="C49" s="102"/>
      <c r="D49" s="102"/>
    </row>
    <row r="50" spans="1:4" x14ac:dyDescent="0.25">
      <c r="A50" s="102"/>
      <c r="B50" s="102"/>
      <c r="C50" s="102"/>
      <c r="D50" s="102"/>
    </row>
    <row r="51" spans="1:4" x14ac:dyDescent="0.25">
      <c r="A51" s="102"/>
      <c r="B51" s="102"/>
      <c r="C51" s="102"/>
      <c r="D51" s="102"/>
    </row>
    <row r="52" spans="1:4" x14ac:dyDescent="0.25">
      <c r="A52" s="102"/>
      <c r="B52" s="102"/>
      <c r="C52" s="102"/>
      <c r="D52" s="102"/>
    </row>
    <row r="53" spans="1:4" x14ac:dyDescent="0.25">
      <c r="A53" s="102"/>
      <c r="B53" s="102"/>
      <c r="C53" s="102"/>
      <c r="D53" s="102"/>
    </row>
    <row r="54" spans="1:4" x14ac:dyDescent="0.25">
      <c r="A54" s="102"/>
      <c r="B54" s="102"/>
      <c r="C54" s="102"/>
      <c r="D54" s="102"/>
    </row>
    <row r="55" spans="1:4" x14ac:dyDescent="0.25">
      <c r="A55" s="102"/>
      <c r="B55" s="102"/>
      <c r="C55" s="102"/>
      <c r="D55" s="102"/>
    </row>
    <row r="56" spans="1:4" x14ac:dyDescent="0.25">
      <c r="A56" s="102"/>
      <c r="B56" s="102"/>
      <c r="C56" s="102"/>
      <c r="D56" s="102"/>
    </row>
    <row r="57" spans="1:4" x14ac:dyDescent="0.25">
      <c r="A57" s="102"/>
      <c r="B57" s="102"/>
      <c r="C57" s="102"/>
      <c r="D57" s="102"/>
    </row>
    <row r="58" spans="1:4" x14ac:dyDescent="0.25">
      <c r="A58" s="102"/>
      <c r="B58" s="102"/>
      <c r="C58" s="102"/>
      <c r="D58" s="102"/>
    </row>
    <row r="59" spans="1:4" x14ac:dyDescent="0.25">
      <c r="A59" s="102"/>
      <c r="B59" s="102"/>
      <c r="C59" s="102"/>
      <c r="D59" s="102"/>
    </row>
    <row r="60" spans="1:4" x14ac:dyDescent="0.25">
      <c r="A60" s="102"/>
      <c r="B60" s="102"/>
      <c r="C60" s="102"/>
      <c r="D60" s="102"/>
    </row>
    <row r="61" spans="1:4" x14ac:dyDescent="0.25">
      <c r="A61" s="102"/>
      <c r="B61" s="102"/>
      <c r="C61" s="102"/>
      <c r="D61" s="102"/>
    </row>
  </sheetData>
  <sheetProtection password="CC43" sheet="1" objects="1" scenarios="1" selectLockedCells="1"/>
  <mergeCells count="3">
    <mergeCell ref="A1:D1"/>
    <mergeCell ref="B3:D3"/>
    <mergeCell ref="B4:D4"/>
  </mergeCells>
  <conditionalFormatting sqref="C6">
    <cfRule type="cellIs" dxfId="44" priority="10" operator="greaterThan">
      <formula>0</formula>
    </cfRule>
  </conditionalFormatting>
  <conditionalFormatting sqref="D6">
    <cfRule type="cellIs" dxfId="43" priority="4" operator="greaterThan">
      <formula>0</formula>
    </cfRule>
  </conditionalFormatting>
  <conditionalFormatting sqref="A7:A31">
    <cfRule type="cellIs" dxfId="42" priority="2" operator="between">
      <formula>1</formula>
      <formula>25</formula>
    </cfRule>
  </conditionalFormatting>
  <conditionalFormatting sqref="B7:D31">
    <cfRule type="cellIs" dxfId="41" priority="1" operator="greaterThan">
      <formula>0</formula>
    </cfRule>
  </conditionalFormatting>
  <dataValidations count="1">
    <dataValidation type="whole" operator="lessThanOrEqual" allowBlank="1" showInputMessage="1" showErrorMessage="1" sqref="A3 A4">
      <formula1>25</formula1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WhiteSpace="0" view="pageLayout" workbookViewId="0">
      <selection activeCell="D15" sqref="D15"/>
    </sheetView>
  </sheetViews>
  <sheetFormatPr defaultRowHeight="15" x14ac:dyDescent="0.25"/>
  <cols>
    <col min="1" max="1" width="4.28515625" style="1" customWidth="1"/>
    <col min="2" max="2" width="44.28515625" style="1" customWidth="1"/>
    <col min="3" max="7" width="16.42578125" style="1" customWidth="1"/>
    <col min="8" max="16384" width="9.140625" style="1"/>
  </cols>
  <sheetData>
    <row r="1" spans="1:11" ht="15.75" x14ac:dyDescent="0.25">
      <c r="A1" s="174" t="s">
        <v>145</v>
      </c>
      <c r="B1" s="174"/>
      <c r="C1" s="174"/>
      <c r="D1" s="174"/>
      <c r="E1" s="174"/>
      <c r="F1" s="174"/>
      <c r="G1" s="174"/>
      <c r="H1" s="4"/>
      <c r="I1" s="4"/>
      <c r="J1" s="4"/>
      <c r="K1" s="4"/>
    </row>
    <row r="2" spans="1:11" x14ac:dyDescent="0.25">
      <c r="A2" s="79"/>
      <c r="B2" s="79"/>
      <c r="C2" s="79"/>
      <c r="D2" s="79"/>
      <c r="E2" s="79"/>
      <c r="F2" s="79"/>
      <c r="G2" s="79"/>
    </row>
    <row r="3" spans="1:11" x14ac:dyDescent="0.25">
      <c r="A3" s="79"/>
      <c r="B3" s="177" t="s">
        <v>133</v>
      </c>
      <c r="C3" s="177"/>
      <c r="D3" s="177"/>
      <c r="E3" s="77">
        <v>4</v>
      </c>
      <c r="F3" s="66"/>
      <c r="G3" s="32"/>
      <c r="H3" s="3"/>
      <c r="I3" s="3"/>
    </row>
    <row r="4" spans="1:11" x14ac:dyDescent="0.25">
      <c r="A4" s="79"/>
      <c r="B4" s="79"/>
      <c r="C4" s="79"/>
      <c r="D4" s="79"/>
      <c r="E4" s="79"/>
      <c r="F4" s="79"/>
      <c r="G4" s="79"/>
    </row>
    <row r="5" spans="1:11" x14ac:dyDescent="0.25">
      <c r="A5" s="234" t="s">
        <v>89</v>
      </c>
      <c r="B5" s="234" t="s">
        <v>287</v>
      </c>
      <c r="C5" s="234" t="s">
        <v>288</v>
      </c>
      <c r="D5" s="234"/>
      <c r="E5" s="234"/>
      <c r="F5" s="234"/>
      <c r="G5" s="234"/>
    </row>
    <row r="6" spans="1:11" ht="30" x14ac:dyDescent="0.25">
      <c r="A6" s="234"/>
      <c r="B6" s="234"/>
      <c r="C6" s="80" t="s">
        <v>134</v>
      </c>
      <c r="D6" s="80" t="s">
        <v>135</v>
      </c>
      <c r="E6" s="80" t="s">
        <v>136</v>
      </c>
      <c r="F6" s="80" t="s">
        <v>137</v>
      </c>
      <c r="G6" s="80" t="s">
        <v>138</v>
      </c>
    </row>
    <row r="7" spans="1:11" x14ac:dyDescent="0.25">
      <c r="A7" s="65">
        <f>IF(1&lt;=E3,1,"")</f>
        <v>1</v>
      </c>
      <c r="B7" s="117" t="s">
        <v>398</v>
      </c>
      <c r="C7" s="143"/>
      <c r="D7" s="144" t="s">
        <v>289</v>
      </c>
      <c r="E7" s="166"/>
      <c r="F7" s="167"/>
      <c r="G7" s="167"/>
    </row>
    <row r="8" spans="1:11" x14ac:dyDescent="0.25">
      <c r="A8" s="65">
        <f>IF(2&lt;=E3,2,"")</f>
        <v>2</v>
      </c>
      <c r="B8" s="150" t="s">
        <v>471</v>
      </c>
      <c r="C8" s="81" t="s">
        <v>472</v>
      </c>
      <c r="D8" s="143"/>
      <c r="E8" s="143"/>
      <c r="F8" s="143"/>
      <c r="G8" s="143"/>
    </row>
    <row r="9" spans="1:11" x14ac:dyDescent="0.25">
      <c r="A9" s="65">
        <f>IF(3&lt;=E3,3,"")</f>
        <v>3</v>
      </c>
      <c r="B9" s="150" t="s">
        <v>473</v>
      </c>
      <c r="C9" s="81" t="s">
        <v>472</v>
      </c>
      <c r="D9" s="143"/>
      <c r="E9" s="143"/>
      <c r="F9" s="143"/>
      <c r="G9" s="143"/>
    </row>
    <row r="10" spans="1:11" x14ac:dyDescent="0.25">
      <c r="A10" s="65">
        <f>IF(4&lt;=E3,4,"")</f>
        <v>4</v>
      </c>
      <c r="B10" s="150" t="s">
        <v>474</v>
      </c>
      <c r="C10" s="81" t="s">
        <v>472</v>
      </c>
      <c r="D10" s="143"/>
      <c r="E10" s="143"/>
      <c r="F10" s="143"/>
      <c r="G10" s="143"/>
    </row>
    <row r="11" spans="1:11" x14ac:dyDescent="0.25">
      <c r="A11" s="65" t="str">
        <f>IF(5&lt;=E3,5,"")</f>
        <v/>
      </c>
      <c r="B11" s="35"/>
      <c r="C11" s="81"/>
      <c r="D11" s="81"/>
      <c r="E11" s="81"/>
      <c r="F11" s="81"/>
      <c r="G11" s="81"/>
    </row>
    <row r="12" spans="1:11" x14ac:dyDescent="0.25">
      <c r="A12" s="65" t="str">
        <f>IF(6&lt;=E3,6,"")</f>
        <v/>
      </c>
      <c r="B12" s="35"/>
      <c r="C12" s="81"/>
      <c r="D12" s="81"/>
      <c r="E12" s="81"/>
      <c r="F12" s="81"/>
      <c r="G12" s="81"/>
    </row>
    <row r="13" spans="1:11" x14ac:dyDescent="0.25">
      <c r="A13" s="65" t="str">
        <f>IF(7&lt;=E3,7,"")</f>
        <v/>
      </c>
      <c r="B13" s="35"/>
      <c r="C13" s="81"/>
      <c r="D13" s="81"/>
      <c r="E13" s="81"/>
      <c r="F13" s="81"/>
      <c r="G13" s="81"/>
    </row>
    <row r="14" spans="1:11" x14ac:dyDescent="0.25">
      <c r="A14" s="65" t="str">
        <f>IF(8&lt;=E3,8,"")</f>
        <v/>
      </c>
      <c r="B14" s="35"/>
      <c r="C14" s="81"/>
      <c r="D14" s="81"/>
      <c r="E14" s="81"/>
      <c r="F14" s="81"/>
      <c r="G14" s="81"/>
    </row>
    <row r="15" spans="1:11" x14ac:dyDescent="0.25">
      <c r="A15" s="65" t="str">
        <f>IF(9&lt;=E3,9,"")</f>
        <v/>
      </c>
      <c r="B15" s="35"/>
      <c r="C15" s="81"/>
      <c r="D15" s="81"/>
      <c r="E15" s="81"/>
      <c r="F15" s="81"/>
      <c r="G15" s="81"/>
    </row>
    <row r="16" spans="1:11" x14ac:dyDescent="0.25">
      <c r="A16" s="65" t="str">
        <f>IF(10&lt;=E3,10,"")</f>
        <v/>
      </c>
      <c r="B16" s="35"/>
      <c r="C16" s="81"/>
      <c r="D16" s="81"/>
      <c r="E16" s="81"/>
      <c r="F16" s="81"/>
      <c r="G16" s="81"/>
    </row>
    <row r="17" spans="1:7" x14ac:dyDescent="0.25">
      <c r="A17" s="65" t="str">
        <f>IF(11&lt;=E3,11,"")</f>
        <v/>
      </c>
      <c r="B17" s="35"/>
      <c r="C17" s="81"/>
      <c r="D17" s="81"/>
      <c r="E17" s="81"/>
      <c r="F17" s="81"/>
      <c r="G17" s="81"/>
    </row>
    <row r="18" spans="1:7" x14ac:dyDescent="0.25">
      <c r="A18" s="65" t="str">
        <f>IF(12&lt;=E3,12,"")</f>
        <v/>
      </c>
      <c r="B18" s="35"/>
      <c r="C18" s="81"/>
      <c r="D18" s="81"/>
      <c r="E18" s="81"/>
      <c r="F18" s="81"/>
      <c r="G18" s="81"/>
    </row>
    <row r="19" spans="1:7" x14ac:dyDescent="0.25">
      <c r="A19" s="65" t="str">
        <f>IF(13&lt;=E3,13,"")</f>
        <v/>
      </c>
      <c r="B19" s="35"/>
      <c r="C19" s="81"/>
      <c r="D19" s="81"/>
      <c r="E19" s="81"/>
      <c r="F19" s="81"/>
      <c r="G19" s="81"/>
    </row>
    <row r="20" spans="1:7" x14ac:dyDescent="0.25">
      <c r="A20" s="65" t="str">
        <f>IF(14&lt;=E3,14,"")</f>
        <v/>
      </c>
      <c r="B20" s="35"/>
      <c r="C20" s="81"/>
      <c r="D20" s="81"/>
      <c r="E20" s="81"/>
      <c r="F20" s="81"/>
      <c r="G20" s="81"/>
    </row>
    <row r="21" spans="1:7" x14ac:dyDescent="0.25">
      <c r="A21" s="65" t="str">
        <f>IF(15&lt;=E3,15,"")</f>
        <v/>
      </c>
      <c r="B21" s="35"/>
      <c r="C21" s="81"/>
      <c r="D21" s="81"/>
      <c r="E21" s="81"/>
      <c r="F21" s="81"/>
      <c r="G21" s="81"/>
    </row>
    <row r="22" spans="1:7" x14ac:dyDescent="0.25">
      <c r="A22" s="65" t="str">
        <f>IF(16&lt;=E3,16,"")</f>
        <v/>
      </c>
      <c r="B22" s="35"/>
      <c r="C22" s="81"/>
      <c r="D22" s="81"/>
      <c r="E22" s="81"/>
      <c r="F22" s="81"/>
      <c r="G22" s="81"/>
    </row>
    <row r="23" spans="1:7" x14ac:dyDescent="0.25">
      <c r="A23" s="65" t="str">
        <f>IF(17&lt;=E3,17,"")</f>
        <v/>
      </c>
      <c r="B23" s="35"/>
      <c r="C23" s="81"/>
      <c r="D23" s="81"/>
      <c r="E23" s="81"/>
      <c r="F23" s="81"/>
      <c r="G23" s="81"/>
    </row>
    <row r="24" spans="1:7" x14ac:dyDescent="0.25">
      <c r="A24" s="65" t="str">
        <f>IF(18&lt;=E3,18,"")</f>
        <v/>
      </c>
      <c r="B24" s="35"/>
      <c r="C24" s="81"/>
      <c r="D24" s="81"/>
      <c r="E24" s="81"/>
      <c r="F24" s="81"/>
      <c r="G24" s="81"/>
    </row>
    <row r="25" spans="1:7" x14ac:dyDescent="0.25">
      <c r="A25" s="65" t="str">
        <f>IF(19&lt;=E3,19,"")</f>
        <v/>
      </c>
      <c r="B25" s="35"/>
      <c r="C25" s="81"/>
      <c r="D25" s="81"/>
      <c r="E25" s="81"/>
      <c r="F25" s="81"/>
      <c r="G25" s="81"/>
    </row>
    <row r="26" spans="1:7" x14ac:dyDescent="0.25">
      <c r="A26" s="65" t="str">
        <f>IF(20&lt;=E3,20,"")</f>
        <v/>
      </c>
      <c r="B26" s="35"/>
      <c r="C26" s="81"/>
      <c r="D26" s="81"/>
      <c r="E26" s="81"/>
      <c r="F26" s="81"/>
      <c r="G26" s="81"/>
    </row>
    <row r="27" spans="1:7" x14ac:dyDescent="0.25">
      <c r="A27" s="65" t="str">
        <f>IF(21&lt;=E3,21,"")</f>
        <v/>
      </c>
      <c r="B27" s="35"/>
      <c r="C27" s="81"/>
      <c r="D27" s="81"/>
      <c r="E27" s="81"/>
      <c r="F27" s="81"/>
      <c r="G27" s="81"/>
    </row>
    <row r="28" spans="1:7" x14ac:dyDescent="0.25">
      <c r="A28" s="65" t="str">
        <f>IF(22&lt;=E3,22,"")</f>
        <v/>
      </c>
      <c r="B28" s="35"/>
      <c r="C28" s="81"/>
      <c r="D28" s="81"/>
      <c r="E28" s="81"/>
      <c r="F28" s="81"/>
      <c r="G28" s="81"/>
    </row>
    <row r="29" spans="1:7" x14ac:dyDescent="0.25">
      <c r="A29" s="65" t="str">
        <f>IF(23&lt;=E3,23,"")</f>
        <v/>
      </c>
      <c r="B29" s="35"/>
      <c r="C29" s="81"/>
      <c r="D29" s="81"/>
      <c r="E29" s="81"/>
      <c r="F29" s="81"/>
      <c r="G29" s="81"/>
    </row>
    <row r="30" spans="1:7" x14ac:dyDescent="0.25">
      <c r="A30" s="65" t="str">
        <f>IF(24&lt;=E3,24,"")</f>
        <v/>
      </c>
      <c r="B30" s="35"/>
      <c r="C30" s="81"/>
      <c r="D30" s="81"/>
      <c r="E30" s="81"/>
      <c r="F30" s="81"/>
      <c r="G30" s="81"/>
    </row>
    <row r="31" spans="1:7" x14ac:dyDescent="0.25">
      <c r="A31" s="65" t="str">
        <f>IF(25&lt;=E3,25,"")</f>
        <v/>
      </c>
      <c r="B31" s="35"/>
      <c r="C31" s="81"/>
      <c r="D31" s="81"/>
      <c r="E31" s="81"/>
      <c r="F31" s="81"/>
      <c r="G31" s="81"/>
    </row>
  </sheetData>
  <sheetProtection selectLockedCells="1"/>
  <mergeCells count="5">
    <mergeCell ref="C5:G5"/>
    <mergeCell ref="B5:B6"/>
    <mergeCell ref="A5:A6"/>
    <mergeCell ref="B3:D3"/>
    <mergeCell ref="A1:G1"/>
  </mergeCells>
  <conditionalFormatting sqref="A7:A31">
    <cfRule type="cellIs" dxfId="40" priority="3" operator="between">
      <formula>0</formula>
      <formula>$E$3</formula>
    </cfRule>
  </conditionalFormatting>
  <conditionalFormatting sqref="B7:G31">
    <cfRule type="cellIs" dxfId="39" priority="1" operator="greaterThan">
      <formula>0</formula>
    </cfRule>
  </conditionalFormatting>
  <dataValidations count="1">
    <dataValidation type="whole" allowBlank="1" showInputMessage="1" showErrorMessage="1" sqref="G3 E3">
      <formula1>0</formula1>
      <formula2>A7+B7+C7+D7+E7</formula2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'Для разработки'!$A$1</xm:f>
          </x14:formula1>
          <xm:sqref>C7:G31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showWhiteSpace="0" view="pageLayout" workbookViewId="0">
      <selection activeCell="E7" sqref="E7"/>
    </sheetView>
  </sheetViews>
  <sheetFormatPr defaultRowHeight="15" x14ac:dyDescent="0.25"/>
  <cols>
    <col min="1" max="1" width="3.28515625" customWidth="1"/>
    <col min="2" max="2" width="16.42578125" customWidth="1"/>
    <col min="3" max="3" width="9" customWidth="1"/>
    <col min="4" max="4" width="14.7109375" customWidth="1"/>
    <col min="5" max="5" width="37.42578125" customWidth="1"/>
    <col min="6" max="6" width="9.140625" customWidth="1"/>
    <col min="7" max="7" width="11.42578125" customWidth="1"/>
    <col min="8" max="8" width="29.5703125" customWidth="1"/>
  </cols>
  <sheetData>
    <row r="1" spans="1:8" ht="15.75" x14ac:dyDescent="0.25">
      <c r="A1" s="179" t="s">
        <v>267</v>
      </c>
      <c r="B1" s="179"/>
      <c r="C1" s="179"/>
      <c r="D1" s="179"/>
      <c r="E1" s="179"/>
      <c r="F1" s="179"/>
      <c r="G1" s="179"/>
      <c r="H1" s="179"/>
    </row>
    <row r="2" spans="1:8" ht="12.75" customHeight="1" x14ac:dyDescent="0.25">
      <c r="A2" s="10"/>
      <c r="B2" s="10"/>
      <c r="C2" s="10"/>
      <c r="D2" s="10"/>
      <c r="E2" s="10"/>
      <c r="F2" s="10"/>
      <c r="G2" s="10"/>
      <c r="H2" s="10"/>
    </row>
    <row r="3" spans="1:8" x14ac:dyDescent="0.25">
      <c r="A3" s="238" t="s">
        <v>157</v>
      </c>
      <c r="B3" s="238"/>
      <c r="C3" s="238"/>
      <c r="D3" s="129">
        <v>3</v>
      </c>
      <c r="E3" s="11"/>
      <c r="F3" s="11"/>
      <c r="G3" s="11"/>
      <c r="H3" s="11"/>
    </row>
    <row r="4" spans="1:8" ht="12.75" customHeight="1" x14ac:dyDescent="0.25">
      <c r="A4" s="10"/>
      <c r="B4" s="10"/>
      <c r="C4" s="10"/>
      <c r="D4" s="10"/>
      <c r="E4" s="10"/>
      <c r="F4" s="10"/>
      <c r="G4" s="10"/>
      <c r="H4" s="10"/>
    </row>
    <row r="5" spans="1:8" ht="63" customHeight="1" x14ac:dyDescent="0.25">
      <c r="A5" s="68" t="s">
        <v>147</v>
      </c>
      <c r="B5" s="68" t="s">
        <v>148</v>
      </c>
      <c r="C5" s="68" t="s">
        <v>149</v>
      </c>
      <c r="D5" s="68" t="s">
        <v>158</v>
      </c>
      <c r="E5" s="68" t="s">
        <v>261</v>
      </c>
      <c r="F5" s="68" t="s">
        <v>332</v>
      </c>
      <c r="G5" s="68" t="s">
        <v>150</v>
      </c>
      <c r="H5" s="68" t="s">
        <v>152</v>
      </c>
    </row>
    <row r="6" spans="1:8" ht="127.5" x14ac:dyDescent="0.25">
      <c r="A6" s="12">
        <f>IF(1&lt;=D3,1,"")</f>
        <v>1</v>
      </c>
      <c r="B6" s="14" t="s">
        <v>399</v>
      </c>
      <c r="C6" s="17">
        <v>25428</v>
      </c>
      <c r="D6" s="19" t="s">
        <v>402</v>
      </c>
      <c r="E6" s="14" t="s">
        <v>404</v>
      </c>
      <c r="F6" s="156"/>
      <c r="G6" s="17">
        <v>42598</v>
      </c>
      <c r="H6" s="114" t="s">
        <v>333</v>
      </c>
    </row>
    <row r="7" spans="1:8" ht="102" x14ac:dyDescent="0.25">
      <c r="A7" s="12">
        <f>IF(A6&lt;D3,2,"")</f>
        <v>2</v>
      </c>
      <c r="B7" s="14" t="s">
        <v>521</v>
      </c>
      <c r="C7" s="17">
        <v>26436</v>
      </c>
      <c r="D7" s="19" t="s">
        <v>403</v>
      </c>
      <c r="E7" s="14" t="s">
        <v>405</v>
      </c>
      <c r="F7" s="156"/>
      <c r="G7" s="17">
        <v>42979</v>
      </c>
      <c r="H7" s="114" t="s">
        <v>333</v>
      </c>
    </row>
    <row r="8" spans="1:8" ht="63.75" x14ac:dyDescent="0.25">
      <c r="A8" s="12">
        <f>IF(A7&lt;D3,3,"")</f>
        <v>3</v>
      </c>
      <c r="B8" s="14" t="s">
        <v>401</v>
      </c>
      <c r="C8" s="17">
        <v>24166</v>
      </c>
      <c r="D8" s="19" t="s">
        <v>403</v>
      </c>
      <c r="E8" s="14" t="s">
        <v>406</v>
      </c>
      <c r="F8" s="156"/>
      <c r="G8" s="17">
        <v>42990</v>
      </c>
      <c r="H8" s="114" t="s">
        <v>333</v>
      </c>
    </row>
    <row r="9" spans="1:8" x14ac:dyDescent="0.25">
      <c r="A9" s="13" t="str">
        <f>IF(A8&lt;D3,4,"")</f>
        <v/>
      </c>
      <c r="B9" s="15"/>
      <c r="C9" s="17"/>
      <c r="D9" s="19"/>
      <c r="E9" s="14"/>
      <c r="F9" s="19"/>
      <c r="G9" s="17"/>
      <c r="H9" s="114"/>
    </row>
    <row r="10" spans="1:8" x14ac:dyDescent="0.25">
      <c r="A10" s="13" t="str">
        <f>IF(A9&lt;D3,5,"")</f>
        <v/>
      </c>
      <c r="B10" s="15"/>
      <c r="C10" s="17"/>
      <c r="D10" s="19"/>
      <c r="E10" s="14"/>
      <c r="F10" s="19"/>
      <c r="G10" s="17"/>
      <c r="H10" s="114"/>
    </row>
    <row r="11" spans="1:8" x14ac:dyDescent="0.25">
      <c r="A11" s="22"/>
      <c r="B11" s="23"/>
      <c r="C11" s="24"/>
      <c r="D11" s="25"/>
      <c r="E11" s="26"/>
      <c r="F11" s="25"/>
      <c r="G11" s="27"/>
      <c r="H11" s="26"/>
    </row>
    <row r="12" spans="1:8" x14ac:dyDescent="0.25">
      <c r="A12" s="22"/>
      <c r="B12" s="23"/>
      <c r="C12" s="24"/>
      <c r="D12" s="25"/>
      <c r="E12" s="26"/>
      <c r="F12" s="25"/>
      <c r="G12" s="27"/>
      <c r="H12" s="26"/>
    </row>
    <row r="13" spans="1:8" x14ac:dyDescent="0.25">
      <c r="A13" s="22"/>
      <c r="B13" s="23"/>
      <c r="C13" s="24"/>
      <c r="D13" s="25"/>
      <c r="E13" s="26"/>
      <c r="F13" s="25"/>
      <c r="G13" s="27"/>
      <c r="H13" s="26"/>
    </row>
    <row r="14" spans="1:8" x14ac:dyDescent="0.25">
      <c r="A14" s="22"/>
      <c r="B14" s="23"/>
      <c r="C14" s="24"/>
      <c r="D14" s="25"/>
      <c r="E14" s="26"/>
      <c r="F14" s="25"/>
      <c r="G14" s="27"/>
      <c r="H14" s="26"/>
    </row>
    <row r="15" spans="1:8" x14ac:dyDescent="0.25">
      <c r="A15" s="22"/>
      <c r="B15" s="23"/>
      <c r="C15" s="24"/>
      <c r="D15" s="25"/>
      <c r="E15" s="26"/>
      <c r="F15" s="25"/>
      <c r="G15" s="27"/>
      <c r="H15" s="26"/>
    </row>
    <row r="16" spans="1:8" x14ac:dyDescent="0.25">
      <c r="A16" s="22"/>
      <c r="B16" s="23"/>
      <c r="C16" s="24"/>
      <c r="D16" s="25"/>
      <c r="E16" s="26"/>
      <c r="F16" s="25"/>
      <c r="G16" s="27"/>
      <c r="H16" s="26"/>
    </row>
    <row r="17" spans="1:8" x14ac:dyDescent="0.25">
      <c r="A17" s="22"/>
      <c r="B17" s="23"/>
      <c r="C17" s="24"/>
      <c r="D17" s="25"/>
      <c r="E17" s="26"/>
      <c r="F17" s="25"/>
      <c r="G17" s="27"/>
      <c r="H17" s="26"/>
    </row>
    <row r="18" spans="1:8" x14ac:dyDescent="0.25">
      <c r="A18" s="22"/>
      <c r="B18" s="23"/>
      <c r="C18" s="24"/>
      <c r="D18" s="25"/>
      <c r="E18" s="26"/>
      <c r="F18" s="25"/>
      <c r="G18" s="27"/>
      <c r="H18" s="26"/>
    </row>
    <row r="19" spans="1:8" x14ac:dyDescent="0.25">
      <c r="A19" s="22"/>
      <c r="B19" s="23"/>
      <c r="C19" s="24"/>
      <c r="D19" s="25"/>
      <c r="E19" s="26"/>
      <c r="F19" s="25"/>
      <c r="G19" s="27"/>
      <c r="H19" s="28"/>
    </row>
    <row r="20" spans="1:8" x14ac:dyDescent="0.25">
      <c r="A20" s="22"/>
      <c r="B20" s="23"/>
      <c r="C20" s="27"/>
      <c r="D20" s="25"/>
      <c r="E20" s="26"/>
      <c r="F20" s="25"/>
      <c r="G20" s="27"/>
      <c r="H20" s="28"/>
    </row>
    <row r="21" spans="1:8" x14ac:dyDescent="0.25">
      <c r="A21" s="22"/>
      <c r="B21" s="23"/>
      <c r="C21" s="27"/>
      <c r="D21" s="25"/>
      <c r="E21" s="26"/>
      <c r="F21" s="25"/>
      <c r="G21" s="27"/>
      <c r="H21" s="28"/>
    </row>
    <row r="22" spans="1:8" x14ac:dyDescent="0.25">
      <c r="A22" s="22"/>
      <c r="B22" s="23"/>
      <c r="C22" s="27"/>
      <c r="D22" s="25"/>
      <c r="E22" s="26"/>
      <c r="F22" s="25"/>
      <c r="G22" s="27"/>
      <c r="H22" s="28"/>
    </row>
    <row r="23" spans="1:8" x14ac:dyDescent="0.25">
      <c r="A23" s="22"/>
      <c r="B23" s="23"/>
      <c r="C23" s="27"/>
      <c r="D23" s="25"/>
      <c r="E23" s="26"/>
      <c r="F23" s="25"/>
      <c r="G23" s="27"/>
      <c r="H23" s="28"/>
    </row>
    <row r="24" spans="1:8" x14ac:dyDescent="0.25">
      <c r="A24" s="22"/>
      <c r="B24" s="23"/>
      <c r="C24" s="27"/>
      <c r="D24" s="25"/>
      <c r="E24" s="26"/>
      <c r="F24" s="25"/>
      <c r="G24" s="27"/>
      <c r="H24" s="28"/>
    </row>
    <row r="25" spans="1:8" x14ac:dyDescent="0.25">
      <c r="A25" s="22"/>
      <c r="B25" s="23"/>
      <c r="C25" s="27"/>
      <c r="D25" s="25"/>
      <c r="E25" s="26"/>
      <c r="F25" s="25"/>
      <c r="G25" s="27"/>
      <c r="H25" s="28"/>
    </row>
    <row r="26" spans="1:8" x14ac:dyDescent="0.25">
      <c r="A26" s="29"/>
      <c r="B26" s="29"/>
      <c r="C26" s="29"/>
      <c r="D26" s="29"/>
      <c r="E26" s="29"/>
      <c r="F26" s="29"/>
      <c r="G26" s="29"/>
      <c r="H26" s="29"/>
    </row>
    <row r="27" spans="1:8" x14ac:dyDescent="0.25">
      <c r="A27" s="29"/>
      <c r="B27" s="29"/>
      <c r="C27" s="29"/>
      <c r="D27" s="29"/>
      <c r="E27" s="29"/>
      <c r="F27" s="29"/>
      <c r="G27" s="29"/>
      <c r="H27" s="29"/>
    </row>
    <row r="28" spans="1:8" x14ac:dyDescent="0.25">
      <c r="A28" s="29"/>
      <c r="B28" s="29"/>
      <c r="C28" s="29"/>
      <c r="D28" s="29"/>
      <c r="E28" s="29"/>
      <c r="F28" s="29"/>
      <c r="G28" s="29"/>
      <c r="H28" s="29"/>
    </row>
    <row r="29" spans="1:8" x14ac:dyDescent="0.25">
      <c r="A29" s="29"/>
      <c r="B29" s="29"/>
      <c r="C29" s="29"/>
      <c r="D29" s="29"/>
      <c r="E29" s="29"/>
      <c r="F29" s="29"/>
      <c r="G29" s="29"/>
      <c r="H29" s="29"/>
    </row>
    <row r="30" spans="1:8" x14ac:dyDescent="0.25">
      <c r="A30" s="29"/>
      <c r="B30" s="29"/>
      <c r="C30" s="29"/>
      <c r="D30" s="29"/>
      <c r="E30" s="29"/>
      <c r="F30" s="29"/>
      <c r="G30" s="29"/>
      <c r="H30" s="29"/>
    </row>
    <row r="31" spans="1:8" x14ac:dyDescent="0.25">
      <c r="A31" s="29"/>
      <c r="B31" s="29"/>
      <c r="C31" s="29"/>
      <c r="D31" s="29"/>
      <c r="E31" s="29"/>
      <c r="F31" s="29"/>
      <c r="G31" s="29"/>
      <c r="H31" s="29"/>
    </row>
    <row r="32" spans="1:8" x14ac:dyDescent="0.25">
      <c r="A32" s="29"/>
      <c r="B32" s="29"/>
      <c r="C32" s="29"/>
      <c r="D32" s="29"/>
      <c r="E32" s="29"/>
      <c r="F32" s="29"/>
      <c r="G32" s="29"/>
      <c r="H32" s="29"/>
    </row>
    <row r="33" spans="1:8" x14ac:dyDescent="0.25">
      <c r="A33" s="29"/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</sheetData>
  <sheetProtection selectLockedCells="1"/>
  <mergeCells count="2">
    <mergeCell ref="A1:H1"/>
    <mergeCell ref="A3:C3"/>
  </mergeCells>
  <conditionalFormatting sqref="B6:H10 B23:H25">
    <cfRule type="cellIs" dxfId="38" priority="5" operator="greaterThan">
      <formula>0</formula>
    </cfRule>
  </conditionalFormatting>
  <conditionalFormatting sqref="A6:A10">
    <cfRule type="cellIs" dxfId="37" priority="16" operator="between">
      <formula>1</formula>
      <formula>5</formula>
    </cfRule>
  </conditionalFormatting>
  <dataValidations count="5">
    <dataValidation type="list" allowBlank="1" showErrorMessage="1" sqref="D6:D10">
      <formula1>"Директор, Заместитель директора"</formula1>
    </dataValidation>
    <dataValidation type="date" allowBlank="1" showErrorMessage="1" error="Введите дату рождения в формате &quot;день.месяц.год&quot;." sqref="C6:C18">
      <formula1>1</formula1>
      <formula2>37621</formula2>
    </dataValidation>
    <dataValidation type="decimal" allowBlank="1" showErrorMessage="1" error="Введите стаж педагогической работы преподавателя в формате &quot;Кол-во лет&quot;." sqref="F6:F25">
      <formula1>0</formula1>
      <formula2>80</formula2>
    </dataValidation>
    <dataValidation type="date" allowBlank="1" showErrorMessage="1" error="Введите дату начала работы в данном учреждении в формате &quot;день.месяц.год&quot;." sqref="G6:G25">
      <formula1>1</formula1>
      <formula2>43616</formula2>
    </dataValidation>
    <dataValidation type="whole" allowBlank="1" showErrorMessage="1" error="Введите либо 0, либо целое положительное число." sqref="D3">
      <formula1>0</formula1>
      <formula2>5</formula2>
    </dataValidation>
  </dataValidations>
  <pageMargins left="0.7" right="0.7" top="0.75" bottom="0.75" header="0.3" footer="0.3"/>
  <pageSetup paperSize="9" orientation="landscape" r:id="rId1"/>
  <headerFooter>
    <oddHeader>&amp;L&amp;"Times New Roman,обычный"&amp;10МУДО «ДШИ № 10» г. Ярославля&amp;R&amp;"Times New Roman,обычный"&amp;10Анализ деятельности образовательного учреждения культурыпо итогам 2019-2020 учебного года. Форма 1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Для разработки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cp:lastPrinted>2020-06-02T10:34:24Z</cp:lastPrinted>
  <dcterms:created xsi:type="dcterms:W3CDTF">2006-09-16T00:00:00Z</dcterms:created>
  <dcterms:modified xsi:type="dcterms:W3CDTF">2021-01-17T19:31:08Z</dcterms:modified>
</cp:coreProperties>
</file>