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345" windowWidth="14805" windowHeight="7770" activeTab="22"/>
  </bookViews>
  <sheets>
    <sheet name="1" sheetId="1" r:id="rId1"/>
    <sheet name="2" sheetId="2" r:id="rId2"/>
    <sheet name="3" sheetId="6" r:id="rId3"/>
    <sheet name="4" sheetId="5" r:id="rId4"/>
    <sheet name="5" sheetId="7" r:id="rId5"/>
    <sheet name="6" sheetId="3" r:id="rId6"/>
    <sheet name="7" sheetId="8" r:id="rId7"/>
    <sheet name="8" sheetId="11" r:id="rId8"/>
    <sheet name="9" sheetId="9" r:id="rId9"/>
    <sheet name="10" sheetId="10" r:id="rId10"/>
    <sheet name="11" sheetId="12" r:id="rId11"/>
    <sheet name="12" sheetId="13" r:id="rId12"/>
    <sheet name="13" sheetId="14" r:id="rId13"/>
    <sheet name="15" sheetId="21" r:id="rId14"/>
    <sheet name="14" sheetId="19" r:id="rId15"/>
    <sheet name="16" sheetId="15" r:id="rId16"/>
    <sheet name="17" sheetId="16" r:id="rId17"/>
    <sheet name="18" sheetId="17" r:id="rId18"/>
    <sheet name="19" sheetId="18" r:id="rId19"/>
    <sheet name="20" sheetId="22" r:id="rId20"/>
    <sheet name="21" sheetId="23" r:id="rId21"/>
    <sheet name="22" sheetId="24" r:id="rId22"/>
    <sheet name="23" sheetId="25" r:id="rId23"/>
  </sheets>
  <calcPr calcId="124519"/>
</workbook>
</file>

<file path=xl/calcChain.xml><?xml version="1.0" encoding="utf-8"?>
<calcChain xmlns="http://schemas.openxmlformats.org/spreadsheetml/2006/main">
  <c r="A9" i="13"/>
  <c r="A8"/>
  <c r="A7"/>
  <c r="A6"/>
  <c r="A10"/>
  <c r="A11"/>
  <c r="A12"/>
  <c r="A13"/>
  <c r="A15"/>
  <c r="A14"/>
  <c r="A5"/>
  <c r="A7" i="23"/>
  <c r="A23" i="24" l="1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23" i="23"/>
  <c r="A22"/>
  <c r="A21"/>
  <c r="A20"/>
  <c r="A19"/>
  <c r="A18"/>
  <c r="A17"/>
  <c r="A16"/>
  <c r="A15"/>
  <c r="A14"/>
  <c r="A13"/>
  <c r="A12"/>
  <c r="A11"/>
  <c r="A10"/>
  <c r="A9"/>
  <c r="A8"/>
  <c r="A6"/>
  <c r="A5"/>
  <c r="A4"/>
  <c r="A4" i="22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5" i="17"/>
  <c r="A27" i="21" l="1"/>
  <c r="A28" s="1"/>
  <c r="A29" s="1"/>
  <c r="A30" s="1"/>
  <c r="A31" s="1"/>
  <c r="A32" s="1"/>
  <c r="A33" s="1"/>
  <c r="A12" i="7"/>
  <c r="A13" s="1"/>
  <c r="A19" i="17" l="1"/>
  <c r="A18"/>
  <c r="A17"/>
  <c r="A16"/>
  <c r="A15"/>
  <c r="A14"/>
  <c r="A13"/>
  <c r="A12"/>
  <c r="A11"/>
  <c r="A10"/>
  <c r="A9"/>
  <c r="A6"/>
  <c r="A7"/>
  <c r="A8"/>
  <c r="F7" i="19"/>
  <c r="G7"/>
  <c r="C7"/>
  <c r="D7"/>
  <c r="B7"/>
  <c r="E6"/>
  <c r="E5"/>
  <c r="E7" s="1"/>
  <c r="D6" i="17" l="1"/>
  <c r="D7"/>
  <c r="D8"/>
  <c r="D9"/>
  <c r="D10"/>
  <c r="D11"/>
  <c r="D12"/>
  <c r="D13"/>
  <c r="D14"/>
  <c r="D15"/>
  <c r="D16"/>
  <c r="D17"/>
  <c r="D18"/>
  <c r="D19"/>
  <c r="D5"/>
  <c r="E28" i="16"/>
  <c r="E6" l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9"/>
  <c r="E5"/>
  <c r="C30" l="1"/>
  <c r="D30"/>
  <c r="B30"/>
  <c r="E30" l="1"/>
  <c r="D6" i="15"/>
  <c r="D7"/>
  <c r="D5"/>
  <c r="J6" i="14"/>
  <c r="I6"/>
  <c r="A6" i="11"/>
  <c r="A7" s="1"/>
  <c r="A8" s="1"/>
  <c r="A9" s="1"/>
  <c r="A10" s="1"/>
  <c r="A11" s="1"/>
  <c r="A12" s="1"/>
  <c r="A13" s="1"/>
  <c r="A14" s="1"/>
  <c r="A6" i="12"/>
  <c r="A7" s="1"/>
  <c r="A8" s="1"/>
  <c r="A9" s="1"/>
  <c r="A10" s="1"/>
  <c r="A11" s="1"/>
  <c r="A12" s="1"/>
  <c r="A13" s="1"/>
  <c r="A14" s="1"/>
  <c r="A15" s="1"/>
  <c r="D15"/>
  <c r="D14"/>
  <c r="D13"/>
  <c r="D12"/>
  <c r="D11"/>
  <c r="D10"/>
  <c r="D9"/>
  <c r="D8"/>
  <c r="D7"/>
  <c r="D6"/>
  <c r="D15" i="11" l="1"/>
  <c r="D14"/>
  <c r="D13"/>
  <c r="D12"/>
  <c r="D11"/>
  <c r="D10"/>
  <c r="D9"/>
  <c r="D8"/>
  <c r="D7"/>
  <c r="D6"/>
  <c r="A15"/>
  <c r="A6" i="10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D25" l="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11" i="9"/>
  <c r="D7"/>
  <c r="D8"/>
  <c r="D9"/>
  <c r="D10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6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10" i="3"/>
  <c r="A11" s="1"/>
  <c r="A14" i="7" l="1"/>
  <c r="A15" s="1"/>
  <c r="A16" s="1"/>
  <c r="A17" s="1"/>
  <c r="A18" s="1"/>
  <c r="A19" s="1"/>
  <c r="A20" s="1"/>
  <c r="A21" s="1"/>
  <c r="H22" i="5" l="1"/>
  <c r="D22"/>
  <c r="A7" i="7" s="1"/>
  <c r="E40" i="2" l="1"/>
  <c r="D40"/>
  <c r="C40"/>
  <c r="I17" i="6" l="1"/>
  <c r="I18"/>
  <c r="I19"/>
  <c r="I20"/>
  <c r="H20" s="1"/>
  <c r="I16"/>
  <c r="I13"/>
  <c r="I14"/>
  <c r="I12"/>
  <c r="I10"/>
  <c r="I9"/>
  <c r="L17"/>
  <c r="L18"/>
  <c r="L19"/>
  <c r="L20"/>
  <c r="L16"/>
  <c r="L13"/>
  <c r="L14"/>
  <c r="L12"/>
  <c r="L10"/>
  <c r="L9"/>
  <c r="J15"/>
  <c r="K15"/>
  <c r="M15"/>
  <c r="N15"/>
  <c r="J11"/>
  <c r="K11"/>
  <c r="M11"/>
  <c r="N11"/>
  <c r="J8"/>
  <c r="J7" s="1"/>
  <c r="K8"/>
  <c r="M8"/>
  <c r="M7" s="1"/>
  <c r="N8"/>
  <c r="H19" l="1"/>
  <c r="L11"/>
  <c r="H18"/>
  <c r="H17"/>
  <c r="L15"/>
  <c r="H16"/>
  <c r="H14"/>
  <c r="N7"/>
  <c r="H13"/>
  <c r="H12"/>
  <c r="H11" s="1"/>
  <c r="K7"/>
  <c r="I8"/>
  <c r="I7" s="1"/>
  <c r="H9"/>
  <c r="I15"/>
  <c r="I11"/>
  <c r="L8"/>
  <c r="L7" s="1"/>
  <c r="H10"/>
  <c r="H8" s="1"/>
  <c r="C31" i="2"/>
  <c r="C32"/>
  <c r="C42"/>
  <c r="C43"/>
  <c r="C44"/>
  <c r="C45"/>
  <c r="C46"/>
  <c r="E46"/>
  <c r="E45"/>
  <c r="E44"/>
  <c r="E43"/>
  <c r="E42"/>
  <c r="E32"/>
  <c r="E31"/>
  <c r="D43"/>
  <c r="D44"/>
  <c r="D45"/>
  <c r="D46"/>
  <c r="D42"/>
  <c r="D41"/>
  <c r="D39"/>
  <c r="D33"/>
  <c r="D34"/>
  <c r="D35"/>
  <c r="D36"/>
  <c r="D37"/>
  <c r="D38"/>
  <c r="D32"/>
  <c r="D31"/>
  <c r="D27"/>
  <c r="D28"/>
  <c r="D29"/>
  <c r="D26"/>
  <c r="D16"/>
  <c r="D17"/>
  <c r="D18"/>
  <c r="D19"/>
  <c r="D20"/>
  <c r="D21"/>
  <c r="D22"/>
  <c r="D23"/>
  <c r="D24"/>
  <c r="D15"/>
  <c r="D8"/>
  <c r="D9"/>
  <c r="D10"/>
  <c r="D11"/>
  <c r="D12"/>
  <c r="D13"/>
  <c r="D7"/>
  <c r="D5"/>
  <c r="H15" i="6" l="1"/>
  <c r="H7"/>
  <c r="A12" i="3"/>
  <c r="A13" l="1"/>
  <c r="A14" s="1"/>
  <c r="A15" s="1"/>
  <c r="A16" s="1"/>
  <c r="A17" s="1"/>
  <c r="A18" s="1"/>
  <c r="A19" s="1"/>
  <c r="A20" s="1"/>
  <c r="A21" s="1"/>
  <c r="A22" s="1"/>
  <c r="A23" l="1"/>
  <c r="A24" s="1"/>
  <c r="A25" s="1"/>
  <c r="A26" s="1"/>
  <c r="A27" s="1"/>
  <c r="A28" s="1"/>
  <c r="A29" s="1"/>
  <c r="A30" s="1"/>
  <c r="A31" s="1"/>
  <c r="A32" s="1"/>
  <c r="E41" i="2"/>
  <c r="E39"/>
  <c r="E7"/>
  <c r="E8"/>
  <c r="E9"/>
  <c r="E10"/>
  <c r="E11"/>
  <c r="E12"/>
  <c r="E13"/>
  <c r="E15"/>
  <c r="E16"/>
  <c r="E17"/>
  <c r="E18"/>
  <c r="E19"/>
  <c r="E20"/>
  <c r="E21"/>
  <c r="E22"/>
  <c r="E23"/>
  <c r="E24"/>
  <c r="E26"/>
  <c r="E27"/>
  <c r="E28"/>
  <c r="E29"/>
  <c r="E33"/>
  <c r="E34"/>
  <c r="E35"/>
  <c r="E36"/>
  <c r="E37"/>
  <c r="E38"/>
  <c r="E5"/>
  <c r="C39"/>
  <c r="C41"/>
  <c r="C7"/>
  <c r="C8"/>
  <c r="C9"/>
  <c r="C10"/>
  <c r="C11"/>
  <c r="C12"/>
  <c r="C13"/>
  <c r="C15"/>
  <c r="C16"/>
  <c r="C17"/>
  <c r="C18"/>
  <c r="C19"/>
  <c r="C20"/>
  <c r="C21"/>
  <c r="C22"/>
  <c r="C23"/>
  <c r="C24"/>
  <c r="C26"/>
  <c r="C27"/>
  <c r="C28"/>
  <c r="C29"/>
  <c r="C33"/>
  <c r="C34"/>
  <c r="C35"/>
  <c r="C36"/>
  <c r="C37"/>
  <c r="C38"/>
  <c r="C5"/>
  <c r="G38" i="1" l="1"/>
  <c r="H38"/>
  <c r="I38"/>
  <c r="J38"/>
  <c r="K38"/>
  <c r="L38"/>
  <c r="M38"/>
  <c r="N38"/>
  <c r="D33"/>
  <c r="E33"/>
  <c r="F33"/>
  <c r="G33"/>
  <c r="H33"/>
  <c r="I33"/>
  <c r="J33"/>
  <c r="K33"/>
  <c r="L33"/>
  <c r="M33"/>
  <c r="N33"/>
  <c r="D22"/>
  <c r="E22"/>
  <c r="F22"/>
  <c r="G22"/>
  <c r="H22"/>
  <c r="I22"/>
  <c r="J22"/>
  <c r="K22"/>
  <c r="L22"/>
  <c r="M22"/>
  <c r="N22"/>
  <c r="D14"/>
  <c r="E14"/>
  <c r="E58" s="1"/>
  <c r="E5" i="5" s="1"/>
  <c r="F14" i="1"/>
  <c r="G14"/>
  <c r="H14"/>
  <c r="I14"/>
  <c r="J14"/>
  <c r="K14"/>
  <c r="L14"/>
  <c r="M14"/>
  <c r="N14"/>
  <c r="C14"/>
  <c r="C22"/>
  <c r="D14" i="2" s="1"/>
  <c r="C33" i="1"/>
  <c r="D58" l="1"/>
  <c r="E14" i="2"/>
  <c r="C14"/>
  <c r="E30"/>
  <c r="C30"/>
  <c r="D30"/>
  <c r="C25"/>
  <c r="C58" i="1"/>
  <c r="C6" i="2"/>
  <c r="D6"/>
  <c r="E6"/>
  <c r="D25"/>
  <c r="L58" i="1"/>
  <c r="I64" s="1"/>
  <c r="F58"/>
  <c r="E25" i="2"/>
  <c r="I58" i="1"/>
  <c r="M58"/>
  <c r="I65" s="1"/>
  <c r="H58"/>
  <c r="F64" s="1"/>
  <c r="N58"/>
  <c r="J58"/>
  <c r="K58"/>
  <c r="G58"/>
  <c r="C47" i="2" l="1"/>
  <c r="D47"/>
  <c r="E6" i="5"/>
  <c r="F65" i="1"/>
  <c r="E47" i="2"/>
</calcChain>
</file>

<file path=xl/comments1.xml><?xml version="1.0" encoding="utf-8"?>
<comments xmlns="http://schemas.openxmlformats.org/spreadsheetml/2006/main">
  <authors>
    <author>Илья</author>
    <author>Автор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наименование учреждения.</t>
        </r>
      </text>
    </comment>
    <comment ref="A7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Полный возраст.
Ячейки, выделенные цветом - не заполняются и не изменяются.</t>
        </r>
      </text>
    </comment>
    <comment ref="E11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приёма, с выпускниками.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выпускников в 2019 году.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приёма, с выпускниками.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выпускников в 2019 году.</t>
        </r>
      </text>
    </comment>
    <comment ref="M11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приёма, с выпускниками.</t>
        </r>
      </text>
    </comment>
    <comment ref="N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выпускников в 2019 году.</t>
        </r>
      </text>
    </comment>
    <comment ref="A57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общеэстетические, подготовительные и др.</t>
        </r>
      </text>
    </comment>
    <comment ref="B62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Данная таблица не заполняется. Она считывает всё автоматически.</t>
        </r>
      </text>
    </comment>
  </commentList>
</comments>
</file>

<file path=xl/comments10.xml><?xml version="1.0" encoding="utf-8"?>
<comments xmlns="http://schemas.openxmlformats.org/spreadsheetml/2006/main">
  <authors>
    <author>Илья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молодых специалистов (преподавателей и концертмейстеров) в возрасте до 30 лет, которые работают в данном учреждении в течении трёх последних лет.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в формате "день.месяц.год".</t>
        </r>
      </text>
    </comment>
  </commentList>
</comments>
</file>

<file path=xl/comments11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т.ч. персональные выставки вне рамок учреждения.</t>
        </r>
      </text>
    </comment>
  </commentList>
</comments>
</file>

<file path=xl/comments12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зданий (строений), в которых непосредственно осуществляется образовательная деятельность, принадлежащих организации на праве собственности, оперативного управления, других вещных правах, либо эксплуатируемых ею на правах аренды.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графах 2 - 4 (из графы 1) указывается число зданий с наличием безбарьерной среды для лиц с нарушениями: зрения (графа 2), слуха (графа 3), опорно-двигательного аппарата (графа 4). Данные вносятся в соответствии с пунктом 41 Перечня национальных стандартов и сводов правил (частей таких стандартов и сводов правил), в результате применения которых на обязательной основе обеспечивается соблюдение требований Федерального закона "Технический регламент о безопасности зданий и сооружений", утверждённого постановлением Правительства Российской Федерации от 26.12.2014 № 1521, а также при наличии ассистивных средств с учётом разумного приспособления, если объект невозможно приспособить полностью.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зданий (строений) (из графы 1), относящихся к объектам культурного наследия федерального (графа 5) и регионального (графа 6) значений.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зданий (строений) (из графы 1), требующих капитального ремонта (графа 7) или находящихся в аварийном состоянии (графа 8), на основании акта (заключения) или составленного в установленном порядке другого документа и характеризующего техническое состояние помещений.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всех учебных комнат школы, использыемых в образовательном процессе.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помещений (зданий), находящихся в оперативном управлении или по договору безвозмездного пользования.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помещений (зданий), используемых организацией по договору аренды.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помещений (зданий), используемых на других правовых основаниях (собственность, право хозяйственного ведения).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суммарная площадь всех занимаемых школой помещений, включая помещения, используемые на правах аренды.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площадь используемых школой учебных помещений.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приводятся данные об оснащённости организации современным материально-техническим оборудованием. В соответствии с Методикой расчёта целевых индикаторов и показателей федеральной целевой программы "Культура России (2012-2018 годы)", утверждённой постановлением Правительства Российской Федерации от 03.03.2012 № 186, "оснащённость современным материально-техническим оборудованием предполагает, что более 50 процентов используемого электронного и технического оборудования имеет возраст до 5 лет". В случае наличия такого оборудования (в том числе компьютерных систем, интерактивных досок, музыкальных инструментов, пюпитров, мольбертов, станков, зеркал, светотехнического оборудования, звукотехнического оборудования) в графу проставляется значение 1, в противном случае - 0.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театрально-концертного зала с роялем (роялями) или пианино, пультами, светотехническим и звукотехническим оборудованием и/или выставочного зала.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библиотеки.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компьютерного класса.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помещений для работы со специализированными материалами, таких как фонотека, видеотека, фильмотека.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мастерской (в случае реализации образовательных программ в области изобразительного, декоративно-прикладного искусства), балетного класса, костюмерной, раздевалки (в случае реализации образовательных программ в области хореографического, театрального, циркового искусства).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специализированного оборудования для инвалидов (колясок, скалоходов и тому подобное).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компьютеров, используемых в своей финансово-хозяйственной, административно-управленческой и иной деятельности. В случае использования персонального компьютера для осуществления нескольких различных направлений финансово-хозяйственной деятельности, при заполнении формы он учитывается как один.</t>
        </r>
      </text>
    </comment>
  </commentList>
</comments>
</file>

<file path=xl/comments13.xml><?xml version="1.0" encoding="utf-8"?>
<comments xmlns="http://schemas.openxmlformats.org/spreadsheetml/2006/main">
  <authors>
    <author>Илья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всех преподавателей, в т.ч. по общеобразовательным дисциплинам.</t>
        </r>
      </text>
    </comment>
  </commentList>
</comments>
</file>

<file path=xl/comments14.xml><?xml version="1.0" encoding="utf-8"?>
<comments xmlns="http://schemas.openxmlformats.org/spreadsheetml/2006/main">
  <authors>
    <author>Илья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Спонсорские и т.д.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Спонсорские и т.д.</t>
        </r>
      </text>
    </comment>
  </commentList>
</comments>
</file>

<file path=xl/comments15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информация о возможности использования Интернета при осуществлении различных видов своей финансово-хозяйственной деятельности (как основных видов уставной, так и административно-управленческой деятельности).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информация о возможности посетителей получить доступ к Интернету в помещениях организации (так называемый Wi-Fi - роутер).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Публикацией является новостное событие, выложенное на главной странице сайта. Это может быть афиша мероприятия, его отчёт, информация о наборе первоклассников и т.д. За период с 01.06.2018 по 01.06.2019.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Количество просмотров за период с 01.06.2018 по 01.06.2019 проще всего посмотреть, если установлена Яндекс.Метрика. Выбираете там указанный период, выводится вся информация.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27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 состоянию на 01.06.2019.</t>
        </r>
      </text>
    </comment>
  </commentList>
</comments>
</file>

<file path=xl/comments16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Под публикациями можно понимать анонсы мероприятий, информацию об итогах, победителях, ключевых моментах. За отчётный учебный год.</t>
        </r>
      </text>
    </comment>
  </commentList>
</comments>
</file>

<file path=xl/comments17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За отчётный учебный год.</t>
        </r>
      </text>
    </comment>
  </commentList>
</comments>
</file>

<file path=xl/comments18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За отчётный учебный год.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Таблица не заполняется. Она дана для наглядности. Проверьте. В случае недостоверности информации, внесите исправления в подразделе 1.1.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общеэстетические, подготовительные и др.</t>
        </r>
      </text>
    </comment>
  </commentList>
</comments>
</file>

<file path=xl/comments3.xml><?xml version="1.0" encoding="utf-8"?>
<comments xmlns="http://schemas.openxmlformats.org/spreadsheetml/2006/main">
  <authors>
    <author>Илья</author>
    <author>Автор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подразделе приводятся сведения о прибытии и выбытии обучающихся за период с 1 октября предыдущего года по 1 июня текущего года. Обратите внимание, что в форме № 1-ДШИ сведения необходимо предоставить с 1 октября по 30 сентября.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показывается численность обучающихся, прибывших в образовательную организацию за отчётный период. В численность прибывших обучающихся не включаются показатели приёма, учитываемые в графах 3, 7 и 11 подраздела 1.1.
В численность обучающихся, прибывших в образовательную организацию, включаются: обучающиеся, переведённые с других форм обучения данной образовательной организации (строки 02, 05) и из других образовательных организаций (строка 08) с программ того же уровня. Строка 01 равна сумме строк 02, 05, 08.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указывается численность обучающихся, выбывших из образовательной организации, предоставляющей статистическую отчётность, до завершения обучения. В численность выбывших обучающихся не включаются показатели выпуска, учитываемые в графах 6, 10 и 14 подраздела 1.1.
В численность обучающихся, выбывших из данной образовательной организации, включаются: обучающиеся, переведённые в другие образовательные организации на обучение по программам того же уровня (строка 10); лица, выбывшие из образовательной организации до её окончания по состоянию здоровья (строка 11); бросившие учёбу (строка 12); выбывшие по другим причинам, не указанным в строках 10-12 (строка 13). Строка 09 равна сумме строк 10-13.</t>
        </r>
      </text>
    </comment>
    <comment ref="A20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приводятся согласно форме 1-ДШИ за 2018 год. Так как данный раздел из новой формы 1-ДШИ, там также укажете те же данные.</t>
        </r>
      </text>
    </comment>
  </commentList>
</comments>
</file>

<file path=xl/comments4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таблице приводятся общие сведения о реализуемых школой образовательных программах по состоянию на 1 июня текущего года.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указывается общее число реализуемых в школе программ по видам.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Сетевая форма реализации образовательных программ обеспечивает возможность освоения обучающимся образовательной программы с использованием ресурсов нескольких организаций, осуществляющих образовательную деятельность, в том числе иностранных, а также при необходимости с использованием ресурсов иных организаций. В реализации образовательных программ с использованием сетевой формы наряду с организациями, осуществляющими образовательную деятельность, также могут участвовать научные организации, медицинские организации, организации культуры, физкультурно-спортивные и иные организации, обладающие ресурсами, необходимыми для осуществления обучения, проведения учебной и производственной практики и осуществления иных видов учебной деятельности, предусмотренных соответствующей образовательной программой (п.1 ст.15 ФЗ от 29.12.2012 № 273-ФЗ "Об образовании в Российской Федерации").
Использование сетевой формы реализации образовательных программ осуществляется на основании договора между организациями.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Дополнительные предпрофессиональные программы в области искусств реализуются в целях выявления одарённых детей в раннем возрасте, создания условия для их художественного образования и эстетического воспитания, приобретения ими знаний, умений, навыков в области выбранного вида искусств, опыта творческой деятельности и осуществления их подготовки к получению профессионального образования в области искусств (п.3 ст.83 ФЗ от 29.12.2012 № 273-ФЗ "Об образовании в Российской Федерации").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Дополнительные общеразвивающие программы реализуются в целях создания базовых основ образованности и решения задач формирования общей культуры учащегося, расширение его знаний о мире и о себе; удовлетворения познавательного интереса и расширение информированности учащихся в конкретной образовательной области; оптимального развития личности на основе педагогической поддержки индивидуальности учащегося в условиях специально организованной образовательной деятельности; накопления учащимися социального опыта и обогащения навыками общения и совместной деятельности в процессе освоения программы.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таблице указывается количество обучающихся в образовательном учреждении лиц с ОВЗ / инвалидов с разбивкой по категориям лиц с ОВЗ / инвалидов. При этом учитываются все лица с ОВЗ и инвалиды, обучающиеся в ДШИ как по адаптированным образовательным программам, так и по дополнительным предпрофессиональным и дополнительным общеразвивающим программам в области искусств. Сведения предоставляются по состоянию на 1 июня текущего года.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Обучающийся с ограниченными возможностями здоровья - физическое лицо, имеющее недостатки в физическом и (или) психологическом развитии, подтверждённые психолого-медико-педагогической комиссией и препятствующие получению образования без создания специальных условий (п.16 ст.2 ФЗ от 29.12.2012 № 273-ФЗ "Об образовании в Российской Федерации"). Обучающиеся с ОВЗ могут являться или не являться инвалидами. Обращаем внимание, что в численность обучающихся с ОВЗ следует включать только тех обучающихся, которые имеют соответствующее заключение психолого-медико-педагогической комиссии.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Инвалид - лицо, которое имеет нарушение здоровья со стойким расстройством функций организма, обусловленное заболеваниями, последствиями травм или дефектами, приводящее к ограничению жизнедеятельности и вызывающее необходимость его социальной защиты (ст.1 ФЗ от 24.11.1995 № 181-ФЗ "О социальной защите инвалидов в Российской Федерации").</t>
        </r>
      </text>
    </comment>
  </commentList>
</comments>
</file>

<file path=xl/comments5.xml><?xml version="1.0" encoding="utf-8"?>
<comments xmlns="http://schemas.openxmlformats.org/spreadsheetml/2006/main">
  <authors>
    <author>Илья</author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указывается общее количество адаптированных образовательных программ (в соответствии с ФЗ № 273-ФЗ от 29.12.2012 "Об образовании в Российской Федерации") в ДШИ без разбивки по категориям лиц с ОВЗ / инвалидов.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предоставляется информация о реализуемых ДШИ адаптированных  образовательных программах (в случае их наличия) без разбивки по категориям лиц с ОВЗ / инвалидов.</t>
        </r>
      </text>
    </comment>
    <comment ref="D3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графах 4-7 указывается количество и доля преподавателей (процент от общего количества преподавателей ДШИ), прошедших обучение по программам повышения квалификации или переподготовки направленным на работу с инвалидами и лицами с ОВЗ без разбивки по категориям лиц с ОВЗ / инвалидов. В графах 4 и 6 отчётным периодом является отчётный учебный год, а в графах 5 и 7 - последние 3 года (графа 5 - количество преподавателей на настоящий момент, работающих в ДШИ, прошедших обучение по программам повышения квалификации или переподготовки направленным на работу с инвалидами и лицами с ОВЗ, графа 7 - столько же преподавателей, что и в графе 6, но, соответственно, будет другой %).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указывается наличие учебно-методической литературы для слепых и слабовидящих, в том числе выполненной рельефно-точечным шрифтом Брайля.</t>
        </r>
      </text>
    </comment>
  </commentList>
</comments>
</file>

<file path=xl/comments6.xml><?xml version="1.0" encoding="utf-8"?>
<comments xmlns="http://schemas.openxmlformats.org/spreadsheetml/2006/main">
  <authors>
    <author>Илья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Данная графа необходима для расчёта сохранности контингента согласно "Дорожной карте". Здесь указываются все обучающиеся, поступавшие по той или иной программе за период, соответствующий сроку освоения программы (например, 5 лет), которые должны были выпуститься по итогам 2018-2019 учебного года.
Пример: в 2014 году поступило 15 человек. Из них в 2019 году выпускается 8. Указываете 15 (только тех, кто поступал изначально в 1 класс в ваше учреждение).</t>
        </r>
      </text>
    </comment>
  </commentList>
</comments>
</file>

<file path=xl/comments7.xml><?xml version="1.0" encoding="utf-8"?>
<comments xmlns="http://schemas.openxmlformats.org/spreadsheetml/2006/main">
  <authors>
    <author>Илья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руководителей и их заместителей.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Стаж работы указывается в формате количества лет. Если стаж 2 года - указывается число 2, если стаж работы 3 года 6 месяцев - указывается число 3,5.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в данной должности. Указывается дата в формате "день.месяц.год".</t>
        </r>
      </text>
    </comment>
  </commentList>
</comments>
</file>

<file path=xl/comments8.xml><?xml version="1.0" encoding="utf-8"?>
<comments xmlns="http://schemas.openxmlformats.org/spreadsheetml/2006/main">
  <authors>
    <author>Илья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преподавателей (не методистов и концертмейстеров), работающих на условиях полной и частичной занятости, включая работающих на условиях внешнего совместительства. Если преподаватель обучает по нескольким предметам, то в графе "Преподаваемый предмет / дисциплина" через точку с запятой перечислить предметы, которые он преподаёт, вначале указав основной предмет. Если преподаватель одновременно является концертмейстером, то в данной таблице указать его здесь как преподавателя, в следующей - как концертмейстера. Если директор или заместитель директора преподаёт предмет, то указать его в данной таблице как преподавателя.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Стаж работы указывается в формате количества лет. Если стаж 2 года - указывается число 2, если стаж работы 3 года 6 месяцев - указывается число 3,5.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в данной должности. Указывается дата в формате "день.месяц.год".</t>
        </r>
      </text>
    </comment>
  </commentList>
</comments>
</file>

<file path=xl/comments9.xml><?xml version="1.0" encoding="utf-8"?>
<comments xmlns="http://schemas.openxmlformats.org/spreadsheetml/2006/main">
  <authors>
    <author>Илья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концертмейстеров (не методистов и преподавателей). Аналогично с предыдущей таблицей.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Стаж работы указывается в формате количества лет. Если стаж 2 года - указывается число 2, если стаж работы 3 года 6 месяцев - указывается число 3,5.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в данной должности. Указывается дата в формате "день.месяц.год".</t>
        </r>
      </text>
    </comment>
  </commentList>
</comments>
</file>

<file path=xl/sharedStrings.xml><?xml version="1.0" encoding="utf-8"?>
<sst xmlns="http://schemas.openxmlformats.org/spreadsheetml/2006/main" count="778" uniqueCount="489">
  <si>
    <t>Полное наименование образовательного учреждения согласно Уставу:</t>
  </si>
  <si>
    <t>Наименование образовательной программы</t>
  </si>
  <si>
    <t>№ строки</t>
  </si>
  <si>
    <t>сентябрь</t>
  </si>
  <si>
    <t>июнь</t>
  </si>
  <si>
    <t>Внебюджетное отделение</t>
  </si>
  <si>
    <t>Бюджетное отделение</t>
  </si>
  <si>
    <t>выпуск</t>
  </si>
  <si>
    <t>принято в 1 класс</t>
  </si>
  <si>
    <t>Фортепиано</t>
  </si>
  <si>
    <t>Народные инструменты</t>
  </si>
  <si>
    <t>Духовые и ударные инструменты</t>
  </si>
  <si>
    <t>Струнно-смычковые инструменты</t>
  </si>
  <si>
    <t>Электронные инструменты</t>
  </si>
  <si>
    <t>Инструменты эстрадного оркестра</t>
  </si>
  <si>
    <t>Хоровое пение</t>
  </si>
  <si>
    <t>Музыкальный фольклор</t>
  </si>
  <si>
    <t>Живопись</t>
  </si>
  <si>
    <t>Акварельная живопись</t>
  </si>
  <si>
    <t>Декоративно прикладное творчество</t>
  </si>
  <si>
    <t>Дизайн</t>
  </si>
  <si>
    <t>Архитектура</t>
  </si>
  <si>
    <t>Хореографическое творчество</t>
  </si>
  <si>
    <t>Искусство балета</t>
  </si>
  <si>
    <t>Искусство театра</t>
  </si>
  <si>
    <t>Искусство цирка</t>
  </si>
  <si>
    <t>Эстрадно-джазовое пение</t>
  </si>
  <si>
    <t>Сольное академическое пение</t>
  </si>
  <si>
    <t>Сольное народное пение</t>
  </si>
  <si>
    <t>Фотоискусство</t>
  </si>
  <si>
    <t>Всего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</si>
  <si>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</si>
  <si>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</si>
  <si>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</si>
  <si>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</si>
  <si>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</si>
  <si>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</si>
  <si>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</si>
  <si>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</si>
  <si>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</si>
  <si>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</si>
  <si>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</si>
  <si>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</si>
  <si>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</si>
  <si>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</si>
  <si>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</si>
  <si>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</si>
  <si>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</si>
  <si>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</si>
  <si>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</si>
  <si>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</si>
  <si>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</si>
  <si>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</si>
  <si>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</si>
  <si>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</si>
  <si>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</si>
  <si>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</si>
  <si>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</si>
  <si>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</si>
  <si>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</si>
  <si>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</si>
  <si>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</si>
  <si>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</si>
  <si>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</si>
  <si>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</si>
  <si>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</si>
  <si>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</si>
  <si>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</si>
  <si>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</si>
  <si>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</si>
  <si>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</si>
  <si>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</si>
  <si>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Общеразвивающие программы</t>
  </si>
  <si>
    <t>Прочие</t>
  </si>
  <si>
    <t>Общая численность обучающихся на конец года</t>
  </si>
  <si>
    <t>Всего принято в 1 класс</t>
  </si>
  <si>
    <t>Всего выпускников</t>
  </si>
  <si>
    <t>Начало учебного года</t>
  </si>
  <si>
    <t>Конец учебного года</t>
  </si>
  <si>
    <t>Период</t>
  </si>
  <si>
    <t>Бюджетные места</t>
  </si>
  <si>
    <t>Внебюджетные места</t>
  </si>
  <si>
    <t>- баян</t>
  </si>
  <si>
    <t>- аккордеон</t>
  </si>
  <si>
    <t>- домра</t>
  </si>
  <si>
    <t>- балалайка</t>
  </si>
  <si>
    <t>- гитара</t>
  </si>
  <si>
    <t>- гусли</t>
  </si>
  <si>
    <t>- национальные инструменты</t>
  </si>
  <si>
    <t>- флейта</t>
  </si>
  <si>
    <t>- гобой</t>
  </si>
  <si>
    <t>- кларнет</t>
  </si>
  <si>
    <t>- фагот</t>
  </si>
  <si>
    <t>- саксофон</t>
  </si>
  <si>
    <t>- труба</t>
  </si>
  <si>
    <t>- валторна</t>
  </si>
  <si>
    <t>- тромбон</t>
  </si>
  <si>
    <t>- туба</t>
  </si>
  <si>
    <t>- ударные инструменты</t>
  </si>
  <si>
    <t>- скрипка</t>
  </si>
  <si>
    <t>- виолончель</t>
  </si>
  <si>
    <t>- альт</t>
  </si>
  <si>
    <t>- арфа</t>
  </si>
  <si>
    <t>- синтезатор</t>
  </si>
  <si>
    <t>- другие</t>
  </si>
  <si>
    <t>Поступили в ссузы и вузы по профилю в 2018 г.</t>
  </si>
  <si>
    <t>Количество выпускников в предыдущем году (2017-2018 уч. год) - данные на конец года</t>
  </si>
  <si>
    <t>Специальность</t>
  </si>
  <si>
    <t>Место поступления</t>
  </si>
  <si>
    <t>№</t>
  </si>
  <si>
    <t>X</t>
  </si>
  <si>
    <t>Образовательные программы</t>
  </si>
  <si>
    <t>Число реализуемых образовательных программ</t>
  </si>
  <si>
    <t>Численность обучающихся</t>
  </si>
  <si>
    <t>Дополнительные предпрофессиональные программы в области искусств</t>
  </si>
  <si>
    <t>Дополнительные общеразвивающие программы в области искусств</t>
  </si>
  <si>
    <t>Число программ (из гр. 2), реализуемых с использованием сетевой формы</t>
  </si>
  <si>
    <t>Общее количество адаптированных образовательных программ</t>
  </si>
  <si>
    <t>Из них</t>
  </si>
  <si>
    <t>бюджетная форма обучения</t>
  </si>
  <si>
    <t>платная форма обучения</t>
  </si>
  <si>
    <t>Наименование показателей</t>
  </si>
  <si>
    <t>Прибыло обучающихся - всего (сумма строк 02, 05, 08)</t>
  </si>
  <si>
    <t>в том числе: переведено с других форм обучения данной образовательной организации по программам того же уровня - всего (сумма строк 03-04)</t>
  </si>
  <si>
    <t>с платной на бюджетную форму обучения</t>
  </si>
  <si>
    <t>с бюджетной на платную форму обучения</t>
  </si>
  <si>
    <t>переведено в данной образовательной организации на программу другого уровня - всего (сумма строк 06-07)</t>
  </si>
  <si>
    <t>с дополнительной предпрофессиональной программы на дополнительную общеразвивающую программу</t>
  </si>
  <si>
    <t>с дополнительной общеразвивающей программы на дополнительную предпрофессиональную программу</t>
  </si>
  <si>
    <t>прибыло обучающихся из других образовательных организаций с программ того же уровня - всего</t>
  </si>
  <si>
    <t>Выбыло обучающихся - всего (сумма строк 10-13)</t>
  </si>
  <si>
    <t>Численность обучающихся на начало прошлого учебного года 
(на 1 октября 2018 г.)</t>
  </si>
  <si>
    <t>выбыло по другим причинам</t>
  </si>
  <si>
    <t>по болезни</t>
  </si>
  <si>
    <t>в том числе: переведено в другие образовательные организации на программы того же уровня</t>
  </si>
  <si>
    <t>добровольно прекратили образовательные отношения 
(бросили учёбу)</t>
  </si>
  <si>
    <t>Дополнительные общеразвивающие программы
в области искусств</t>
  </si>
  <si>
    <t>Численность обуч-ся (из гр. 3) по программам, реализуемым с исп. сетевой формы</t>
  </si>
  <si>
    <t>Фамилия</t>
  </si>
  <si>
    <t>Имя</t>
  </si>
  <si>
    <t>Отчество</t>
  </si>
  <si>
    <t>Количество выпускников в отчётном учебном году
(2018-2019 уч. год)</t>
  </si>
  <si>
    <t>Категория детей с ОВЗ, в том числе инвалиды</t>
  </si>
  <si>
    <t>по слуху</t>
  </si>
  <si>
    <t>по зрению</t>
  </si>
  <si>
    <t>с тяжёлыми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</si>
  <si>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</si>
  <si>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</si>
  <si>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</t>
  </si>
  <si>
    <t>с расстройствами аутистического характера</t>
  </si>
  <si>
    <t>со сложными дефектами</t>
  </si>
  <si>
    <t>с другими ОВЗ</t>
  </si>
  <si>
    <t>Из них (гр. 2) реализуемых</t>
  </si>
  <si>
    <t>Доля преподавателей, прошедших обучение по программам повышения квалификации или переподготовки, направленным на работу с инвалидами и лицами с ОВЗ (чел.)</t>
  </si>
  <si>
    <t>чел.</t>
  </si>
  <si>
    <t>%</t>
  </si>
  <si>
    <t>Наличие безбарьерной среды для детей инвалидов: пандусы, подъёмники, тактильные таблички и т.п.
(1 - да, 0 - нет)</t>
  </si>
  <si>
    <t>Наличие учебной и учебно-методической литературы для слепых и слабовидящих
(1 - да, 0 - нет)</t>
  </si>
  <si>
    <t>Наименование адаптированной программы</t>
  </si>
  <si>
    <t>Вид программы</t>
  </si>
  <si>
    <t>Срок реализации</t>
  </si>
  <si>
    <t>Количество человек, получающих стипендии различного уровня:</t>
  </si>
  <si>
    <t>Районые /
городские</t>
  </si>
  <si>
    <t>Областные</t>
  </si>
  <si>
    <t>Губернаторские</t>
  </si>
  <si>
    <t>Федеральные</t>
  </si>
  <si>
    <t>Иные</t>
  </si>
  <si>
    <t>Предпрофессиональные программы</t>
  </si>
  <si>
    <t>1.1. Численность контингента обучающихся по направлениям на начало и конец учебного года</t>
  </si>
  <si>
    <t>1.2. Численность обучающихся на бюджетных и внебюджетных местах на начало и конец учебного года (не заполняется)</t>
  </si>
  <si>
    <t>1.3. Численность контингента обучающихся по направлениям
на конец учебного года (не заполняется)</t>
  </si>
  <si>
    <t>1.4. Движение численности учащихся</t>
  </si>
  <si>
    <t>1.5. Сведения о реализуемых образовательных программах</t>
  </si>
  <si>
    <t>1.6. Сведения об обучающихся с ограниченными возможностями здоровья (ОВЗ), в том числе инвалидах</t>
  </si>
  <si>
    <t>1.7. Реализация образовательных программ для лиц с ограниченными возможностями здоровья (ОВЗ), инвалидов</t>
  </si>
  <si>
    <t>1.8. Наличие образовательных программ, адаптированных для лиц с ограниченными возможностями здоровья (ОВЗ), инвалидов</t>
  </si>
  <si>
    <t>1.9. Количество выпускников</t>
  </si>
  <si>
    <t>1.10. Выпускники, поступившие в ссузы и вузы в 2018 г.</t>
  </si>
  <si>
    <t>1.11. Количество стипендиатов</t>
  </si>
  <si>
    <t>Количество преподавателей:</t>
  </si>
  <si>
    <t>№ п/п</t>
  </si>
  <si>
    <t>ФИО полностью</t>
  </si>
  <si>
    <t>Дата рождения</t>
  </si>
  <si>
    <t>Дата начала работы в данном учреждении</t>
  </si>
  <si>
    <t>Категория</t>
  </si>
  <si>
    <t>Наличие гос. награды, почётного звания, отраслевой награды, даты присвоения</t>
  </si>
  <si>
    <t>Возраст</t>
  </si>
  <si>
    <t>Законченное полное образование (перечислить все профильные учебные заведения, год окончания, специальность, квалификация)</t>
  </si>
  <si>
    <t>Преподаваемый предмет / дисциплина</t>
  </si>
  <si>
    <t xml:space="preserve">Стаж педагогической работы / работы по специальности </t>
  </si>
  <si>
    <t>Количество концертмейстеров:</t>
  </si>
  <si>
    <t>Количество руководителей:</t>
  </si>
  <si>
    <t>Должность</t>
  </si>
  <si>
    <t xml:space="preserve">Стаж работы по специальности </t>
  </si>
  <si>
    <t>Образование</t>
  </si>
  <si>
    <t>Количество молодых специалистов за последние 3 года:</t>
  </si>
  <si>
    <t>Участие в конкурсах профессионального мастерства</t>
  </si>
  <si>
    <t>Участие в мастер-классах, семинарах, конференциях</t>
  </si>
  <si>
    <t>Публикации в печатных изданиях (тема, издание, дата публикации)</t>
  </si>
  <si>
    <t>Неопубликованные материалы, имеющие внутреннюю и внешнюю рецензии, готовые к печати (тема)</t>
  </si>
  <si>
    <t>пассивное
(кол-во чел.)</t>
  </si>
  <si>
    <t>активное
(кол-во чел., темы, место
и форма проведения)</t>
  </si>
  <si>
    <t>Количество методических мероприятий, проведённых на базе учреждения, и число участников</t>
  </si>
  <si>
    <t>внутришкольные</t>
  </si>
  <si>
    <t>меропр.</t>
  </si>
  <si>
    <t>городские / районные</t>
  </si>
  <si>
    <t>межмуниципальные</t>
  </si>
  <si>
    <t>областные</t>
  </si>
  <si>
    <t>всего</t>
  </si>
  <si>
    <t>Наименование образовательной организации, на базе которой проводилось обучение</t>
  </si>
  <si>
    <t>кол-во участников</t>
  </si>
  <si>
    <r>
      <t xml:space="preserve">С получением </t>
    </r>
    <r>
      <rPr>
        <b/>
        <u/>
        <sz val="11"/>
        <color theme="1"/>
        <rFont val="Times New Roman"/>
        <family val="1"/>
        <charset val="204"/>
      </rPr>
      <t>свидетельства</t>
    </r>
  </si>
  <si>
    <r>
      <t xml:space="preserve">С получением </t>
    </r>
    <r>
      <rPr>
        <b/>
        <u/>
        <sz val="11"/>
        <color theme="1"/>
        <rFont val="Times New Roman"/>
        <family val="1"/>
        <charset val="204"/>
      </rPr>
      <t>удостоверения
о повышении квалификации</t>
    </r>
  </si>
  <si>
    <t>кол-во 
образовательных мероприятий</t>
  </si>
  <si>
    <t>Наименование отремонтированного объекта</t>
  </si>
  <si>
    <t>Вид ремонта</t>
  </si>
  <si>
    <t>Объём затраченных средств (всего)</t>
  </si>
  <si>
    <t>Из них по источникам финансирования</t>
  </si>
  <si>
    <t>областной бюджет
(тыс. руб.)</t>
  </si>
  <si>
    <t>муниципальный бюджет
(тыс. руб.)</t>
  </si>
  <si>
    <t>внебюджетные средства
(тыс. руб.)</t>
  </si>
  <si>
    <t>другое
(тыс. руб.)</t>
  </si>
  <si>
    <t>Количество единиц</t>
  </si>
  <si>
    <t>Сумма (руб.)</t>
  </si>
  <si>
    <t>областной бюджет
(руб.)</t>
  </si>
  <si>
    <t>муниципальный бюджет
(руб.)</t>
  </si>
  <si>
    <t>внебюджетные средства
(руб.)</t>
  </si>
  <si>
    <t>Название инструмента (производитель)</t>
  </si>
  <si>
    <t>другое
(руб., указать источник)</t>
  </si>
  <si>
    <t>Наименование музыкального инструмента</t>
  </si>
  <si>
    <t>используемые в учебном процессе</t>
  </si>
  <si>
    <t>неиспользуемые в учебном процессе</t>
  </si>
  <si>
    <t>Количество устаревших и подлежащих списанию музыкальных инструментов (кол-во единиц)</t>
  </si>
  <si>
    <t>Доля устаревших и подлежащих списанию музыкальных инструментов (%)</t>
  </si>
  <si>
    <t>Общее количество музыкальных инструментов
(кол-во единиц)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</si>
  <si>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</si>
  <si>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</si>
  <si>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</si>
  <si>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</si>
  <si>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</si>
  <si>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</si>
  <si>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</si>
  <si>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</si>
  <si>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</si>
  <si>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</si>
  <si>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</si>
  <si>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</si>
  <si>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</si>
  <si>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</si>
  <si>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</si>
  <si>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</si>
  <si>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ударные инструменты</t>
  </si>
  <si>
    <t>баян</t>
  </si>
  <si>
    <t>аккордеон</t>
  </si>
  <si>
    <t>домра</t>
  </si>
  <si>
    <t>балалайка</t>
  </si>
  <si>
    <t>гусли</t>
  </si>
  <si>
    <t>национальные инструменты</t>
  </si>
  <si>
    <t>гитара (в т.ч. её разновидности)</t>
  </si>
  <si>
    <t>ВСЕГО</t>
  </si>
  <si>
    <t>другое</t>
  </si>
  <si>
    <t>Наименование оборудования</t>
  </si>
  <si>
    <t>областной бюджет (руб.)</t>
  </si>
  <si>
    <t>муниципальный бюджет (руб.)</t>
  </si>
  <si>
    <t>внебюджетные средства (руб.)</t>
  </si>
  <si>
    <t>другое
(указать источник)</t>
  </si>
  <si>
    <t>Квалификационная категория</t>
  </si>
  <si>
    <t>без категории</t>
  </si>
  <si>
    <t>первая</t>
  </si>
  <si>
    <t>высшая</t>
  </si>
  <si>
    <t>Преподаватель</t>
  </si>
  <si>
    <t>Концертмейстер</t>
  </si>
  <si>
    <t>2019-2020 учебный год</t>
  </si>
  <si>
    <t>Адрес собственного Интернет-сайта:</t>
  </si>
  <si>
    <t>Адрес группы/страницы в Вконтакте:</t>
  </si>
  <si>
    <t>Адрес группы/страницы на Facebook'е:</t>
  </si>
  <si>
    <t>Адрес группы/страницы на Одноклассниках:</t>
  </si>
  <si>
    <t>Адрес страницы в Instagram:</t>
  </si>
  <si>
    <t>Ссылка на Youtube-канал:</t>
  </si>
  <si>
    <t>Количество подписчиков:</t>
  </si>
  <si>
    <t>Количество публикаций:</t>
  </si>
  <si>
    <t>Количество просмотров:</t>
  </si>
  <si>
    <t>Количество видео:</t>
  </si>
  <si>
    <t>Наличие доступа в интернет (да - 1, нет - 0):</t>
  </si>
  <si>
    <t>Наличие доступа в Интернет для посетителей из фойе (да - 1, нет - 0):</t>
  </si>
  <si>
    <t>Число зданий</t>
  </si>
  <si>
    <t>зрения</t>
  </si>
  <si>
    <t>слуха</t>
  </si>
  <si>
    <t>Число зданий, являющихся объектами культурного наследия (из гр.1)</t>
  </si>
  <si>
    <t>федерального значения</t>
  </si>
  <si>
    <t>регионального значения</t>
  </si>
  <si>
    <t>Число зданий, доступных для лиц с нарушениями (из гр.1)</t>
  </si>
  <si>
    <t>требующих капитального ремонта</t>
  </si>
  <si>
    <t>в аварийном состоянии</t>
  </si>
  <si>
    <t>опорно-
двигательного
аппарата</t>
  </si>
  <si>
    <t>Число зданий
(из гр.1)</t>
  </si>
  <si>
    <t>Число зданий (помещений) по форме пользования (из гр.1)</t>
  </si>
  <si>
    <t>в оперативном управлении</t>
  </si>
  <si>
    <t>арендованные</t>
  </si>
  <si>
    <t>прочие</t>
  </si>
  <si>
    <t>Число учебных комнат</t>
  </si>
  <si>
    <t>в том числе учебных (из гр.13)</t>
  </si>
  <si>
    <r>
      <t>Площадь помещений (м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</t>
    </r>
  </si>
  <si>
    <t>Наличие современного материально-технического оборудования
(да - 1, нет - 0)</t>
  </si>
  <si>
    <t>Наличие концертного /
выставочного / театрального / хореографического залов
(да - 1, нет - 0)</t>
  </si>
  <si>
    <t>Наличие библиотеки (да - 1,
нет - 0)</t>
  </si>
  <si>
    <t>Наличие компьютер-ного класса
(да - 1,
нет - 0)</t>
  </si>
  <si>
    <t>Наличие помещений для работы со специализированными материалами 
(да - 1, нет - 0)</t>
  </si>
  <si>
    <t>Наличие мастерской, балетного класса, костюмерной, раздеваалки
(да - 1, нет - 0)</t>
  </si>
  <si>
    <t>Число единиц специализированного оборудования для инвалидов</t>
  </si>
  <si>
    <t>Число персональных компьютеров</t>
  </si>
  <si>
    <t>Адреса зданий (из графы 1), в которых осуществляется образовательная деятельность</t>
  </si>
  <si>
    <t>Адрес (полный адрес, с указанием индекса)</t>
  </si>
  <si>
    <t>Количество обучающихся с ОВЗ</t>
  </si>
  <si>
    <t>Количество обучающихся-инвалиды</t>
  </si>
  <si>
    <t>Наименование портала</t>
  </si>
  <si>
    <t>Ссылка на портал</t>
  </si>
  <si>
    <t>Уровень</t>
  </si>
  <si>
    <t>Количество
публикаций</t>
  </si>
  <si>
    <t>Наименование печатного издания</t>
  </si>
  <si>
    <t>Дата публикации</t>
  </si>
  <si>
    <t>Название статьи</t>
  </si>
  <si>
    <t>Наименование телеканала</t>
  </si>
  <si>
    <t>Название передачи</t>
  </si>
  <si>
    <t>5. Аналитические материалы</t>
  </si>
  <si>
    <t>3. Взаимодействие с общественными организациями (формы, мероприятия) - общественные советы, попечительские советы, родительский комитет и т.п.</t>
  </si>
  <si>
    <t>2. Формы работы в летнее время, количество участников летних проектов на базе вашего образова-тельного учреждения: лагерь с дневным пребыванием детей, пленэры, летние творческие школы и др.</t>
  </si>
  <si>
    <t>4. Привлечение обучающихся к участию в волонтёрской деятельности.</t>
  </si>
  <si>
    <t>1. Результативность работы по основным направлениям.</t>
  </si>
  <si>
    <t>6. Межрегиональное и международное сотрудничество (проекты, учебно-методическая деятельность, мероприятия).</t>
  </si>
  <si>
    <t>5. Взаимодействие с Учебно-методическим и информационным центром.</t>
  </si>
  <si>
    <t>4. Взаимодействие с другими учреждениями культуры, домами культуры, библиотеками и т.д. (формы, мероприятия).</t>
  </si>
  <si>
    <t>3. Взаимодействие с другими детскими школами искусств, а также с Ярославским музыкальным училищем (колледжом) имени Л.В. Собинова, Ярославским художественным училищем, Ярославским колледжем культуры, включая ДШИ и ГОУСПО других регионов (формы, мероприятия).</t>
  </si>
  <si>
    <t>2. Использование современных технологий.</t>
  </si>
  <si>
    <t>1. Обновление содержания образования (в том числе планируемые к реализации новые образователь-ные программы (направления) в следующем учебном году).</t>
  </si>
  <si>
    <t>2018-2019</t>
  </si>
  <si>
    <t>выпуск 2019</t>
  </si>
  <si>
    <t>количество поступавших</t>
  </si>
  <si>
    <t>Законченное полное образование (среднее/высшее, перечислить все профильные учебные заведения, год окончания, специальность, квалификация)</t>
  </si>
  <si>
    <t xml:space="preserve">          Уважаемые руководители! Просьба подготовить развёрнутый ответ по образовательной деятельности и воспитательной работе за отчётный учебный год по нижеследующим пунктам. Ответ приложить в виде дополнения к формам 1 и 2 в формате .doc.</t>
  </si>
  <si>
    <t>Руководитель (полные ФИО):</t>
  </si>
  <si>
    <t>3 года</t>
  </si>
  <si>
    <t>Были аттестованы в отчётном уч.г.</t>
  </si>
  <si>
    <t>Планируют аттестацию в следующем уч.г.</t>
  </si>
  <si>
    <t>Количество обучающихся по состоянию на 1 июня текущего года</t>
  </si>
  <si>
    <t>2.1. Сведения о руководителях</t>
  </si>
  <si>
    <t>2.2. Сведения о педагогических кадрах</t>
  </si>
  <si>
    <t>2.2. Сведения о педагогических кадрах (продолжение)</t>
  </si>
  <si>
    <t>2.3. Мониторинг обновления кадрового состава учреждения</t>
  </si>
  <si>
    <t>2.4. Участие педагогических работников образовательного учреждения в методических мероприятиях</t>
  </si>
  <si>
    <t>2.5. Методическая работа на базе учреждения</t>
  </si>
  <si>
    <t>2.6. Повышение квалификации педагогических работников образовательного учреждения в отчётном учебном году</t>
  </si>
  <si>
    <t>2.7. Сведения об аттестации педагогических работников</t>
  </si>
  <si>
    <t>2.8. Поимённый список педагогических работников, планирующих пройти аттестацию на квалификационную категорию 
в следующем учебном году с указанием категории, на которую претендуют.</t>
  </si>
  <si>
    <t>3.1. Материально-техническая база</t>
  </si>
  <si>
    <t>3.2. Сведения о ремонтах, проведённых в отчётном году</t>
  </si>
  <si>
    <t>3.3. Сведения о музыкальных инструментах, приобретённых / полученных в отчётном году</t>
  </si>
  <si>
    <t>3.4. Сведения о состоянии музыкальных инструментов на 01.06.2019</t>
  </si>
  <si>
    <t>3.5. Сведения о приобретении оборудования для учебного процесса художественного отделения</t>
  </si>
  <si>
    <t>4.1. Информационная открытость образовательного учреждения</t>
  </si>
  <si>
    <t>4.2. Публикации на федеральных, региональных и муниципальных интернет-порталах</t>
  </si>
  <si>
    <t>4.3. Публикации в печатных СМИ федерального, регионального и муниципального уровней</t>
  </si>
  <si>
    <t>4.4. Публикации на ТВ-каналах федерального, регионального и муниципального уровней</t>
  </si>
  <si>
    <t>5.1. Образовательная деятельность учреждения</t>
  </si>
  <si>
    <t>5.2. Воспитательная работа учреждения</t>
  </si>
  <si>
    <t>Муниципальное учреждение дополнительного образования "Детская школа искусств № 10" города Ярославля</t>
  </si>
  <si>
    <t>Тихомирова Ирина Николаевна</t>
  </si>
  <si>
    <t>Недюжина</t>
  </si>
  <si>
    <t>Татьяна</t>
  </si>
  <si>
    <t>Михайловна</t>
  </si>
  <si>
    <t>ЯМУ им. Л.В.Собинова</t>
  </si>
  <si>
    <t xml:space="preserve">Зудинов </t>
  </si>
  <si>
    <t>Александр</t>
  </si>
  <si>
    <t>Ярославский колледж культуры</t>
  </si>
  <si>
    <t xml:space="preserve"> УМиИЦ Ярославской области</t>
  </si>
  <si>
    <t>ГТРК Ярославль</t>
  </si>
  <si>
    <t>Региональный</t>
  </si>
  <si>
    <t>Новости - репортаж об открытии нового здания ДШИ № 10</t>
  </si>
  <si>
    <t>69 (+51 внебюджет)</t>
  </si>
  <si>
    <t>Лонгович</t>
  </si>
  <si>
    <t>Эстрадное пение</t>
  </si>
  <si>
    <t xml:space="preserve">Статья "Музыка - моя стихия!" (Василий Зиновьев.. Тезисы) Автор: Евдокимова Ирина Михайловна (преподаватель теор.дисциплин). В сборнике материалов конференции обучающихся образовательных учреждений сферы культуры и искусства Ярославской области. (декабрь 2018 г.) </t>
  </si>
  <si>
    <t>Тихомирова Ирина Николаенва</t>
  </si>
  <si>
    <t>Директор</t>
  </si>
  <si>
    <t>Махнева Марина Юрьевна</t>
  </si>
  <si>
    <t>Заместитель директора</t>
  </si>
  <si>
    <t>Гуляева Ирина Павловна</t>
  </si>
  <si>
    <t>Высшее
ЯМУ им. Л.В.Собинова, 1990, специальность "фортепиано", квалификация преподаватель, концертмейстер.
Волго-Вятская академия государственной службы, 2007,
специальность "государственно и муниципальное управление", квалификация менеджер</t>
  </si>
  <si>
    <t>Высшее
Ярославский государственный университет имени П.Г. Демидова, 1998, специальность "Прикладная математика", квалификация математик</t>
  </si>
  <si>
    <t>Астафьева Алла Александровна (преп. по домре) - стала Дипломантом III Ярославского областного конкурса пед.мастерства преподавателей учреждений сферы культуры "Признание"  (апрель-май 2019)</t>
  </si>
  <si>
    <t>Участие преп. Маховой Елены Юрьевны во Втором открытом ярославском конкурсе концертмейстерского мастерства "Концертмейстер приглашает солиста" (16-17 февраля 2019) - Участник</t>
  </si>
  <si>
    <t>Участие преп. Никитиной Юлии Александровны во Втором открытом ярославском конкурсе концертмейстерского мастерства "Концертмейстер приглашает солиста" (16-17 февраля 2019) - Участник</t>
  </si>
  <si>
    <t>Участие преп. Костицыной Лии Георгиевныы во Втором открытом ярославском конкурсе концертмейстерского мастерства "Концертмейстер приглашает солиста" (16-17 февраля 2019) - Участник</t>
  </si>
  <si>
    <t>Участие преп. Костицыной Лии Георгиевна (уч-ся Корель Арина (домра) - преп. Астафьева А.А.) в мастер-классе О.Бер в рамках конкурса концертмейстерского мастерства "Концертмейстер приглашает солиста" (17.02.2019 г., ДШИ им. Д.Когана)</t>
  </si>
  <si>
    <t xml:space="preserve">Открытый урок Астафьевой Аллы Александровны (преп. домры) "Психологические особенности и проблемы, возникающие в работе с ансамблем" в рамках "Открытой школы" (Копилка методических находок) - 23.01.2019 </t>
  </si>
  <si>
    <t>Открытый урок преп. Капитоновой Екатерины Евгеньевны "Аранжировка - одна из форм работы в классе синтезатора" (для преп. Из ДШИ № 10, ДШИ г. Рыбинска, ДШИ им. Собинова) - 19.12.2018 г.</t>
  </si>
  <si>
    <t>Участие уч-ся преп. Недюжиной Натальи Леонидовны (Потёмкина А.) и преп. Астафьевой Аллы Александровны (Корель А.) в мастер-классахС.Ф.Лукина в рамках Межрегионального молодежного фестиваля нар.музыки "Созвучье струн, времён и поколений" к 100-летию В.Н.Городовской - 29.11.2018 г.</t>
  </si>
  <si>
    <t xml:space="preserve">Работа преп. Махнёвой Марины Юрьевны в качестве председателя жюри V Открытого муниципального конкурса музыки, танца и рисунка "Новогодний серпантин" в МКУ ДО "ДШИ г.п.п Чистые Боры" - 28.12.2018 г. </t>
  </si>
  <si>
    <t>Участие преп. Сидельниковой О.К. с обучающимся Соковым Кириллом (конц-р Костицына Л.Г.) в мастер-классе профессора Нижегородской гос. консерватории Л.В.Лукьяненко - ЯМУ им. Собинова 25.11.2018 г.</t>
  </si>
  <si>
    <t>Методическое сообщение преп. Костицыной Лии Георгиевны "Роль концертмейстера в классе скрипки" для преп. ДШИ № 10, "Канцона" - 12.10.2018 г.</t>
  </si>
  <si>
    <t>Участие преп. Пермяковой Марины Борисовны с уч-ся Масловой Екатериной в мастер-классе аспиранта Московской гос. Консерватории Татьяны Колесовой в рамках V Межрегиональной летней Ярославской фортепианной академии "Ля-Фа" для одаренных детей" - 12.06.2019 г. ДШИ им. Л.В.Собинова</t>
  </si>
  <si>
    <t>ДШИ № 1  г. Ярославля</t>
  </si>
  <si>
    <t>ДШИ им. Д.Когана</t>
  </si>
  <si>
    <t>Астафьева Алла Александровна</t>
  </si>
  <si>
    <t>Первая</t>
  </si>
  <si>
    <t>Без категории</t>
  </si>
  <si>
    <t>фортепиано</t>
  </si>
  <si>
    <t>теоретические дисциплины</t>
  </si>
  <si>
    <t>Высшая</t>
  </si>
  <si>
    <t>Высшее
Кировское училище искусств, 1991, специальность теория музыки, квалификация преподаватель.
Костромской государственный университет им. Н.А. Некрасова, 2008, специальность "Музыкальное образование", квалификация учитель музыки</t>
  </si>
  <si>
    <t>Высшее
ЯМУ им. Л.В, Собинова, 2003, артист оркестра (ансамбля),  специальность народные иснтрументы (домра), квалификация преподаватель, руководитель творческого коллектива.
ЯГПУ им. К.Д. Ушинского, 2013, специальность "Дошкольная педагогика и психология", квалификация перподаватель дошкольной педагогики и психологии</t>
  </si>
  <si>
    <t>Афанасьева Татьяна Анатольевна</t>
  </si>
  <si>
    <t>хор</t>
  </si>
  <si>
    <t>Высшее
ЯМУ им. Л.В. Собинова, 1981, специальность хоровое дирижирование, квалификация дирижер хора, учитель пения в школе, преподаватель сольфеджио в музыкальной школе.
Московский ордена Трудового Красного знамени гос.институт культуры, 1987, специальность культурно-просветительская работа, квалификация кулпросветрабтник, руководитель самодеятльного академического хора</t>
  </si>
  <si>
    <t>Бурлакова Гузель Азатовна</t>
  </si>
  <si>
    <t>Высшее
Октябрьское муз.училище, 1977, специальность теория музыки, квалификация  педагог ДМШ по муз.-теоретич.дисциплинам и общему фортепиано.
Казанский гос. Педагогический институт, 1987, специальность музыка, квалификация учитель музыки</t>
  </si>
  <si>
    <t>Гаврюшов Альберт Николаевич</t>
  </si>
  <si>
    <t>гитара</t>
  </si>
  <si>
    <t>Аттестационная комиссия управления культуры  облисполкома г.Ярославля, 1979</t>
  </si>
  <si>
    <t>Евдокимова Ирина Михайловна</t>
  </si>
  <si>
    <t>Высшее
ЯМУ им.Л.В.Собинова, 1984, специальность теория музыки, квалификация преподаватель муз.школы по сольфедио, музыкальной литературе и общему фортепиано.
ЯГПУ им. К.Д. Ушинского, 1994, специальность русский язык и литература, квалификация учитель русского языка и литературы</t>
  </si>
  <si>
    <t>ИЗО</t>
  </si>
  <si>
    <t xml:space="preserve">Егорова Лариса Николаевна </t>
  </si>
  <si>
    <t>Капитонова Екатерина Евгньевна</t>
  </si>
  <si>
    <t>Высшее
ЯМУ им. Л.В. Собинова, 2000, специальность теория музыки, квалификация преподаватель музыкально-теоретических дисциплин.
Вологодский гос.педагогический университиет, 2005, специальность музыкальное образование, квалификация теория музыки.</t>
  </si>
  <si>
    <t>Кольцова Тамара Михайловна</t>
  </si>
  <si>
    <t>Костицына Лия Георгиевна</t>
  </si>
  <si>
    <t>концертмейстер</t>
  </si>
  <si>
    <t>Среднее 
Чернигорское государственное музыкальное училище, 1973,
специальность фортепиано, квалификация преподаватель детской музыкальной школы по классу фортепиано, концертмейстер</t>
  </si>
  <si>
    <t>Высшее
ЯМУ им. Л.В. Собинова, 2011, специальность инструментальное исполнительство, фортепиано, квалификация преподаватель игры на инструменте, концертмейстер.
ЯГПУ им.К.Д. Ушинского, 2014, специальность музыкальное образование, квалификация учитель музыки</t>
  </si>
  <si>
    <t>Литвинова Эльвира Илмаривна</t>
  </si>
  <si>
    <t>Высшее
Новгородское областное уилище искусств им. С.В. Рахманинова, 2000, спциальность фортепиано, квалификация преподаватель, концертмейстер.
Новгородский гос.университет им.Ярослава Мудрого, 2004, специальность психология, квалификация психолог, преподаватель психологии</t>
  </si>
  <si>
    <t>Махова Елена Юрьевна</t>
  </si>
  <si>
    <t>Высшее
Северодонецкое музыкальное училище им. С.С. Прокофьева, 2001, специальность музыкальное искусство, квалификация преподаватель по классу фортепиано, концертмейстр, артист ансамбля.
Луганский национальный педагогический университет им. Тараса Шевченко, 2004, специальность музыкальная педагогика и воспитание, квалификация учитель музыки и художественной культуры.
Луганский национальный педагогический университет им. Тараса Шевченко, 2005, специальность управление учебным заведением, квалификация руководитель учебного заведения, организатор образовательно деятельности.</t>
  </si>
  <si>
    <t>Наумова Тамара Витальевна</t>
  </si>
  <si>
    <t>Высшее
ЯМУ им. Л.В. Собинова, 1975, специальность фортепиано, квалификация прподаватель музыкальной школы и концертмейстер.
Ярославское училище культуры, 1998, специальность социально-культурная деятельность и народное художественное творчество, квалификация педагог-организ. досуга, постановщик досговых программ.
ЯГПУ им. К.Д. Ушинскго, 1982, специальность русский язык и литература, квалификация учитель русского языка и литературы</t>
  </si>
  <si>
    <t>Недюжин Михаил Анатольевич</t>
  </si>
  <si>
    <t>Высшее
ЯМУ им. Л.В. Собинова, 1989, специальность народные инструменты (баян), квалификация прподаватель, руководитель самодеятельного оркестра.
Нижгородская гос.консерватория им. М.И. Глинки, 1994, специальность баян, квалификация концертный исполниетель, преподаватель</t>
  </si>
  <si>
    <t>Никитина Юлия Александровна</t>
  </si>
  <si>
    <t>Высшее
ЯМУ им. Л.В. Собинова, 2007, специальность инструментальное исполнительство, квалификация преподаватель игры на инструменте, концертмейстер
Костромской гос. университет им. Н.А. Некрасова, 2010,
специальность музыкальное образование, квалификация уитель музыки</t>
  </si>
  <si>
    <t>Носова Марина Сергеевна</t>
  </si>
  <si>
    <t>Среднее
Буйское музыкальнео училище, 1984, специальность фортепиано, квалификация преподавател ДШИ, концертмейстер</t>
  </si>
  <si>
    <t>Саиганданова Ольга Евгеньевна</t>
  </si>
  <si>
    <t xml:space="preserve">Высшее
Санкт-Петербургская государственная консерватория им. Н.А. Римского-Корсакова, 1997, специальность  инструментальное исполниельство (фортепиано), квалификация концертный исполнитель, артист камерного ансамбля, концертмейстер, преподаватель </t>
  </si>
  <si>
    <t>Румянцева Антонина Александровна</t>
  </si>
  <si>
    <t>Среднее
Рязанское музыкальное училище, 1972, специальность народные инструменты, квалификация руководитель самодеятельного оркестра народных инструментов, преподаватель музыкальной школы по классу баяна</t>
  </si>
  <si>
    <t>Пермякова Марина Борисовна</t>
  </si>
  <si>
    <t>Среднее
Новокузнецкое музыкальное училище, 1980, специальность фортепиано, квалификация преподаватель ДМШ, концертмейстер</t>
  </si>
  <si>
    <t>Одинцова Галина Валентиновна</t>
  </si>
  <si>
    <t>Шелухина Елена Николаевна</t>
  </si>
  <si>
    <t>Веретенникова Наталия Владимировна</t>
  </si>
  <si>
    <t>Максимова Ольга Владимировна</t>
  </si>
  <si>
    <t>вокал</t>
  </si>
  <si>
    <t>Высшее
Ростовское педагогическое училище, 1992, специальность музыкальное воспитание, квалификация учитель музыки, музыкальный воспитатель.
ЯГПУ им. К.Д. Ушинского, 2010, специальность менеджмент организации, квалификация менеджер</t>
  </si>
  <si>
    <t>Марков Константин Сергеевич</t>
  </si>
  <si>
    <t>Никитин Кирилл Александрович</t>
  </si>
  <si>
    <t>Среднее
ЯМУ им. Л.В. Собинова, 2016, специальность инструментальное исполнительство (инструменты народного оркестра-балалайка), квалификация артист, преподаватель</t>
  </si>
  <si>
    <t>Высшее
Нижнекамский музыкальный колледж им. Салиха Сайдашева, 2009, специальность инструментальное исполнительство, квалификация артист оркестра (ансамбля), преподаватель игры на инструменте, концертмейстер.
Московский гуманитарно-экономический институт, 2013, специальность юриспруденция, квалификация юрист.</t>
  </si>
  <si>
    <t>Недюжина 
Наталья Леонидовна</t>
  </si>
  <si>
    <t>Высшее
Буйское областное училище искусств, 1992, специальность народные инструменты (домра), квалификация артист, руководитель самодеятельного оркестра, преподаватель.
Нижегородская гос.консерватория им. М.И. Глинки, 1998, специальность инструментальное исполнительство (домра), квалификация концертный исполнитель, преподаватель</t>
  </si>
  <si>
    <t>Сидельникова 
Ольга Константиновна</t>
  </si>
  <si>
    <t>Среднее
Ворошиловоградское гос. музыкальное училище, 1977, специальность струнные инструменты, квалификация преподаватель ДМШ по классу скрипки, артист оркестра</t>
  </si>
  <si>
    <t>хор
вокал</t>
  </si>
  <si>
    <t>Чернятина 
Яна
Владимировна</t>
  </si>
  <si>
    <t>Среднее специальное</t>
  </si>
  <si>
    <t>150063,г. Ярославль, ул. Труфанова, д. 29, корп.5</t>
  </si>
  <si>
    <t>150064, г. Ярославль, ул. Строителей, д.21</t>
  </si>
  <si>
    <t>150019, г. Ярославль, переулок Красноперевальский, д.4</t>
  </si>
  <si>
    <t>Текущий</t>
  </si>
  <si>
    <t>Здание школы по адресу:                        ул. Труфанова, д.29, корп.5</t>
  </si>
  <si>
    <t>Баян "Юпитер-2"(Россия)</t>
  </si>
  <si>
    <t>Баян "Юпитер-2Д"(Россия)</t>
  </si>
  <si>
    <t>Скрипка 1/8 "Бранер"(Китай)</t>
  </si>
  <si>
    <t>Скрипка 1/2 "Стефан Поладик"(Китай)</t>
  </si>
  <si>
    <t>Клавишный инструмент(синтезатор) "Ямаха"(Китай)</t>
  </si>
  <si>
    <t>Акуст. пианино "Ямаха"(Индонезия)</t>
  </si>
  <si>
    <t>Цифр. пианино "Ямаха"(Индонезия)</t>
  </si>
  <si>
    <t>Высшее
Московское ордена Трудового Красного Знамени высшее художественно промышленное училище,1987, специальность интерьер и оборудование (проектирование интерьеров, выставок и реклам), квалификация художник декоративного искусства</t>
  </si>
  <si>
    <t>Высшее
ЯМУ им. Л.В. Собинова, 1980, специальность хоровое дирижирование, квалификация дирижер хора, учитель музыки и пения в общеобразовательной школе, преподаватель сольфеджио в музыкальной школе.
Ленинградский орд.Дружбы народов гос.институт культуры им. Н.К. Крупской, 1986, специальность культурно-просветитльская работа, специальность культпросветработник, руководитель самодеятельного русского народного хорового коллектива</t>
  </si>
  <si>
    <t>Высшее
Ленинградская ордена Ленина Государственная консерватория мс. Н.А. Римского-Корсакова, 1979, специальность фортепиано, квалификация солист камерного ансамбля, преподаватель, концертмейстер</t>
  </si>
  <si>
    <t>Высшее
ЯГПУ им. К.Д. Ушинского, 2005, специальность музыкальное образование, квалификация учитель музыки.</t>
  </si>
  <si>
    <t>Среднее
Челябинское музыкальное училище, 1980, специальность фортепиано, квалификация преподаватель ДМШ, концертмейстер</t>
  </si>
  <si>
    <t>https://vk.com/club135423836</t>
  </si>
  <si>
    <t>http://яр-дши10.рф/</t>
  </si>
  <si>
    <t>https://ok.ru/group/55780035788821</t>
  </si>
  <si>
    <t>https://pro.culture.ru/cabinet/events?shortcut=old</t>
  </si>
  <si>
    <t>АИС «Единое информационное пространство в сфере культуры"</t>
  </si>
  <si>
    <t>Участие преп. Пермяковой Марины Борисовны с уч-ся Масловой Екатериной (4 кл., ф-но) в мастер-классе Лауреата международных конкурсов, профессора фортепиано в Высшей школы искусств «LUCA School of Arts» (Бельгия), профессора фортепиано в Международной музыкальной академии им. Теодора Лещетицкого (Вена, Австрия), артистического директора Международного фестиваля камерной музыки «Timur und seine Mannschaft» (Гент, Бельгия) – Тимура Сергееня -   в рамках VII Межрегиональной летней Ярославской фортепианной Академии «ЛЯ-ФА» для одаренных детей 14.06.2019 г.</t>
  </si>
  <si>
    <t xml:space="preserve">Участие преп. Пермяковой Марины Борисовны с уч-ся Масловой Екатериной (4 кл., ф-но) в Концерте участников VII Межрегиональной летней Ярославской фортепианной Академии "ЛЯ-ФА" 14.06.2019 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</si>
</sst>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0" fillId="0" borderId="0" xfId="0" applyProtection="1"/>
    <xf numFmtId="0" fontId="2" fillId="0" borderId="0" xfId="0" applyFont="1" applyBorder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</xf>
    <xf numFmtId="0" fontId="10" fillId="0" borderId="0" xfId="0" applyFont="1" applyProtection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14" fontId="1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4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O65"/>
  <sheetViews>
    <sheetView view="pageLayout" topLeftCell="A34" workbookViewId="0">
      <selection activeCell="N57" sqref="N57"/>
    </sheetView>
  </sheetViews>
  <sheetFormatPr defaultRowHeight="15"/>
  <cols>
    <col min="1" max="1" width="27" style="1" customWidth="1"/>
    <col min="2" max="2" width="6.28515625" style="1" customWidth="1"/>
    <col min="3" max="3" width="8" style="1" customWidth="1"/>
    <col min="4" max="4" width="8.42578125" style="1" customWidth="1"/>
    <col min="5" max="7" width="8" style="1" customWidth="1"/>
    <col min="8" max="8" width="8.42578125" style="1" customWidth="1"/>
    <col min="9" max="9" width="8" style="1" customWidth="1"/>
    <col min="10" max="10" width="8.140625" style="1" customWidth="1"/>
    <col min="11" max="11" width="8" style="1" customWidth="1"/>
    <col min="12" max="12" width="8.42578125" style="1" customWidth="1"/>
    <col min="13" max="13" width="8.140625" style="1" customWidth="1"/>
    <col min="14" max="14" width="8" style="1" customWidth="1"/>
    <col min="15" max="16384" width="9.140625" style="1"/>
  </cols>
  <sheetData>
    <row r="2" spans="1:1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3"/>
    </row>
    <row r="3" spans="1:15">
      <c r="A3" s="129" t="s">
        <v>365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"/>
    </row>
    <row r="5" spans="1:15">
      <c r="A5" s="130" t="s">
        <v>340</v>
      </c>
      <c r="B5" s="130"/>
      <c r="C5" s="130"/>
      <c r="D5" s="131" t="s">
        <v>366</v>
      </c>
      <c r="E5" s="131"/>
      <c r="F5" s="131"/>
      <c r="G5" s="131"/>
      <c r="H5" s="131"/>
      <c r="I5" s="131"/>
      <c r="J5" s="131"/>
      <c r="K5" s="118"/>
      <c r="L5" s="119"/>
      <c r="M5" s="118"/>
      <c r="N5" s="2"/>
    </row>
    <row r="7" spans="1:15" ht="15" customHeight="1">
      <c r="A7" s="127" t="s">
        <v>168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4"/>
    </row>
    <row r="9" spans="1:15" ht="15" customHeight="1">
      <c r="A9" s="137" t="s">
        <v>1</v>
      </c>
      <c r="B9" s="136" t="s">
        <v>2</v>
      </c>
      <c r="C9" s="134" t="s">
        <v>6</v>
      </c>
      <c r="D9" s="134"/>
      <c r="E9" s="134"/>
      <c r="F9" s="134"/>
      <c r="G9" s="134"/>
      <c r="H9" s="134"/>
      <c r="I9" s="134"/>
      <c r="J9" s="134"/>
      <c r="K9" s="140" t="s">
        <v>5</v>
      </c>
      <c r="L9" s="140"/>
      <c r="M9" s="140"/>
      <c r="N9" s="140"/>
    </row>
    <row r="10" spans="1:15">
      <c r="A10" s="138"/>
      <c r="B10" s="136"/>
      <c r="C10" s="141" t="s">
        <v>167</v>
      </c>
      <c r="D10" s="141"/>
      <c r="E10" s="141"/>
      <c r="F10" s="141"/>
      <c r="G10" s="141" t="s">
        <v>72</v>
      </c>
      <c r="H10" s="141"/>
      <c r="I10" s="141"/>
      <c r="J10" s="141"/>
      <c r="K10" s="140"/>
      <c r="L10" s="140"/>
      <c r="M10" s="140"/>
      <c r="N10" s="140"/>
    </row>
    <row r="11" spans="1:15" ht="25.5">
      <c r="A11" s="139"/>
      <c r="B11" s="136"/>
      <c r="C11" s="91" t="s">
        <v>8</v>
      </c>
      <c r="D11" s="91" t="s">
        <v>3</v>
      </c>
      <c r="E11" s="92" t="s">
        <v>4</v>
      </c>
      <c r="F11" s="92" t="s">
        <v>7</v>
      </c>
      <c r="G11" s="91" t="s">
        <v>8</v>
      </c>
      <c r="H11" s="91" t="s">
        <v>3</v>
      </c>
      <c r="I11" s="92" t="s">
        <v>4</v>
      </c>
      <c r="J11" s="92" t="s">
        <v>7</v>
      </c>
      <c r="K11" s="91" t="s">
        <v>8</v>
      </c>
      <c r="L11" s="91" t="s">
        <v>3</v>
      </c>
      <c r="M11" s="92" t="s">
        <v>4</v>
      </c>
      <c r="N11" s="92" t="s">
        <v>7</v>
      </c>
    </row>
    <row r="12" spans="1:15">
      <c r="A12" s="92">
        <v>1</v>
      </c>
      <c r="B12" s="92">
        <v>2</v>
      </c>
      <c r="C12" s="92">
        <v>3</v>
      </c>
      <c r="D12" s="92">
        <v>4</v>
      </c>
      <c r="E12" s="92">
        <v>5</v>
      </c>
      <c r="F12" s="92">
        <v>6</v>
      </c>
      <c r="G12" s="92">
        <v>7</v>
      </c>
      <c r="H12" s="92">
        <v>8</v>
      </c>
      <c r="I12" s="92">
        <v>9</v>
      </c>
      <c r="J12" s="92">
        <v>10</v>
      </c>
      <c r="K12" s="92">
        <v>11</v>
      </c>
      <c r="L12" s="92">
        <v>12</v>
      </c>
      <c r="M12" s="92">
        <v>13</v>
      </c>
      <c r="N12" s="92">
        <v>14</v>
      </c>
    </row>
    <row r="13" spans="1:15">
      <c r="A13" s="96" t="s">
        <v>9</v>
      </c>
      <c r="B13" s="93" t="s">
        <v>32</v>
      </c>
      <c r="C13" s="97">
        <v>6</v>
      </c>
      <c r="D13" s="97">
        <v>35</v>
      </c>
      <c r="E13" s="97">
        <v>34</v>
      </c>
      <c r="F13" s="97">
        <v>0</v>
      </c>
      <c r="G13" s="97">
        <v>10</v>
      </c>
      <c r="H13" s="97">
        <v>41</v>
      </c>
      <c r="I13" s="97">
        <v>42</v>
      </c>
      <c r="J13" s="97">
        <v>16</v>
      </c>
      <c r="K13" s="97">
        <v>0</v>
      </c>
      <c r="L13" s="97">
        <v>0</v>
      </c>
      <c r="M13" s="97">
        <v>0</v>
      </c>
      <c r="N13" s="97">
        <v>0</v>
      </c>
    </row>
    <row r="14" spans="1:15">
      <c r="A14" s="96" t="s">
        <v>10</v>
      </c>
      <c r="B14" s="94"/>
      <c r="C14" s="94">
        <f>C15+C16+C17+C18+C19+C20+C21</f>
        <v>6</v>
      </c>
      <c r="D14" s="94">
        <f t="shared" ref="D14:N14" si="0">D15+D16+D17+D18+D19+D20+D21</f>
        <v>25</v>
      </c>
      <c r="E14" s="94">
        <f t="shared" si="0"/>
        <v>25</v>
      </c>
      <c r="F14" s="94">
        <f t="shared" si="0"/>
        <v>0</v>
      </c>
      <c r="G14" s="94">
        <f t="shared" si="0"/>
        <v>15</v>
      </c>
      <c r="H14" s="94">
        <f t="shared" si="0"/>
        <v>50</v>
      </c>
      <c r="I14" s="94">
        <f t="shared" si="0"/>
        <v>49</v>
      </c>
      <c r="J14" s="94">
        <f t="shared" si="0"/>
        <v>22</v>
      </c>
      <c r="K14" s="94">
        <f t="shared" si="0"/>
        <v>0</v>
      </c>
      <c r="L14" s="94">
        <f t="shared" si="0"/>
        <v>0</v>
      </c>
      <c r="M14" s="94">
        <f t="shared" si="0"/>
        <v>0</v>
      </c>
      <c r="N14" s="94">
        <f t="shared" si="0"/>
        <v>0</v>
      </c>
    </row>
    <row r="15" spans="1:15">
      <c r="A15" s="98" t="s">
        <v>82</v>
      </c>
      <c r="B15" s="93" t="s">
        <v>31</v>
      </c>
      <c r="C15" s="97">
        <v>3</v>
      </c>
      <c r="D15" s="97">
        <v>15</v>
      </c>
      <c r="E15" s="97">
        <v>15</v>
      </c>
      <c r="F15" s="97">
        <v>0</v>
      </c>
      <c r="G15" s="97">
        <v>7</v>
      </c>
      <c r="H15" s="97">
        <v>19</v>
      </c>
      <c r="I15" s="97">
        <v>19</v>
      </c>
      <c r="J15" s="97">
        <v>6</v>
      </c>
      <c r="K15" s="97">
        <v>0</v>
      </c>
      <c r="L15" s="97">
        <v>0</v>
      </c>
      <c r="M15" s="97">
        <v>0</v>
      </c>
      <c r="N15" s="97">
        <v>0</v>
      </c>
    </row>
    <row r="16" spans="1:15">
      <c r="A16" s="98" t="s">
        <v>83</v>
      </c>
      <c r="B16" s="93" t="s">
        <v>33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>
      <c r="A17" s="98" t="s">
        <v>84</v>
      </c>
      <c r="B17" s="93" t="s">
        <v>34</v>
      </c>
      <c r="C17" s="97">
        <v>3</v>
      </c>
      <c r="D17" s="97">
        <v>10</v>
      </c>
      <c r="E17" s="97">
        <v>10</v>
      </c>
      <c r="F17" s="97">
        <v>0</v>
      </c>
      <c r="G17" s="97">
        <v>0</v>
      </c>
      <c r="H17" s="97">
        <v>9</v>
      </c>
      <c r="I17" s="97">
        <v>9</v>
      </c>
      <c r="J17" s="97">
        <v>5</v>
      </c>
      <c r="K17" s="97">
        <v>0</v>
      </c>
      <c r="L17" s="97">
        <v>0</v>
      </c>
      <c r="M17" s="97">
        <v>0</v>
      </c>
      <c r="N17" s="97">
        <v>0</v>
      </c>
    </row>
    <row r="18" spans="1:14">
      <c r="A18" s="98" t="s">
        <v>85</v>
      </c>
      <c r="B18" s="93" t="s">
        <v>35</v>
      </c>
      <c r="C18" s="97">
        <v>0</v>
      </c>
      <c r="D18" s="97">
        <v>0</v>
      </c>
      <c r="E18" s="97">
        <v>0</v>
      </c>
      <c r="F18" s="97">
        <v>0</v>
      </c>
      <c r="G18" s="97">
        <v>2</v>
      </c>
      <c r="H18" s="97">
        <v>2</v>
      </c>
      <c r="I18" s="97">
        <v>4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</row>
    <row r="19" spans="1:14">
      <c r="A19" s="98" t="s">
        <v>86</v>
      </c>
      <c r="B19" s="93" t="s">
        <v>36</v>
      </c>
      <c r="C19" s="97">
        <v>0</v>
      </c>
      <c r="D19" s="97">
        <v>0</v>
      </c>
      <c r="E19" s="97">
        <v>0</v>
      </c>
      <c r="F19" s="97">
        <v>0</v>
      </c>
      <c r="G19" s="97">
        <v>6</v>
      </c>
      <c r="H19" s="97">
        <v>20</v>
      </c>
      <c r="I19" s="97">
        <v>17</v>
      </c>
      <c r="J19" s="97">
        <v>11</v>
      </c>
      <c r="K19" s="97">
        <v>0</v>
      </c>
      <c r="L19" s="97">
        <v>0</v>
      </c>
      <c r="M19" s="97">
        <v>0</v>
      </c>
      <c r="N19" s="97">
        <v>0</v>
      </c>
    </row>
    <row r="20" spans="1:14">
      <c r="A20" s="98" t="s">
        <v>87</v>
      </c>
      <c r="B20" s="93" t="s">
        <v>37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4">
      <c r="A21" s="98" t="s">
        <v>88</v>
      </c>
      <c r="B21" s="93" t="s">
        <v>38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4">
      <c r="A22" s="96" t="s">
        <v>11</v>
      </c>
      <c r="B22" s="93"/>
      <c r="C22" s="94">
        <f>C23+C24+C25+C26+C27+C28+C29+C30+C31+C32</f>
        <v>0</v>
      </c>
      <c r="D22" s="94">
        <f t="shared" ref="D22:N22" si="1">D23+D24+D25+D26+D27+D28+D29+D30+D31+D32</f>
        <v>0</v>
      </c>
      <c r="E22" s="94">
        <f t="shared" si="1"/>
        <v>0</v>
      </c>
      <c r="F22" s="94">
        <f t="shared" si="1"/>
        <v>0</v>
      </c>
      <c r="G22" s="94">
        <f t="shared" si="1"/>
        <v>0</v>
      </c>
      <c r="H22" s="94">
        <f t="shared" si="1"/>
        <v>0</v>
      </c>
      <c r="I22" s="94">
        <f t="shared" si="1"/>
        <v>0</v>
      </c>
      <c r="J22" s="94">
        <f t="shared" si="1"/>
        <v>0</v>
      </c>
      <c r="K22" s="94">
        <f t="shared" si="1"/>
        <v>0</v>
      </c>
      <c r="L22" s="94">
        <f t="shared" si="1"/>
        <v>0</v>
      </c>
      <c r="M22" s="94">
        <f t="shared" si="1"/>
        <v>0</v>
      </c>
      <c r="N22" s="94">
        <f t="shared" si="1"/>
        <v>0</v>
      </c>
    </row>
    <row r="23" spans="1:14">
      <c r="A23" s="98" t="s">
        <v>89</v>
      </c>
      <c r="B23" s="93" t="s">
        <v>39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</row>
    <row r="24" spans="1:14">
      <c r="A24" s="98" t="s">
        <v>90</v>
      </c>
      <c r="B24" s="93" t="s">
        <v>40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>
      <c r="A25" s="98" t="s">
        <v>91</v>
      </c>
      <c r="B25" s="93" t="s">
        <v>41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>
      <c r="A26" s="98" t="s">
        <v>92</v>
      </c>
      <c r="B26" s="93" t="s">
        <v>42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1:14">
      <c r="A27" s="98" t="s">
        <v>93</v>
      </c>
      <c r="B27" s="93" t="s">
        <v>43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4">
      <c r="A28" s="98" t="s">
        <v>94</v>
      </c>
      <c r="B28" s="93" t="s">
        <v>44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</row>
    <row r="29" spans="1:14">
      <c r="A29" s="98" t="s">
        <v>95</v>
      </c>
      <c r="B29" s="93" t="s">
        <v>45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>
      <c r="A30" s="98" t="s">
        <v>96</v>
      </c>
      <c r="B30" s="93" t="s">
        <v>46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</row>
    <row r="31" spans="1:14">
      <c r="A31" s="98" t="s">
        <v>97</v>
      </c>
      <c r="B31" s="93" t="s">
        <v>47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14">
      <c r="A32" s="98" t="s">
        <v>98</v>
      </c>
      <c r="B32" s="93" t="s">
        <v>48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1:14">
      <c r="A33" s="96" t="s">
        <v>12</v>
      </c>
      <c r="B33" s="93"/>
      <c r="C33" s="94">
        <f>C34+C35+C36+C37</f>
        <v>1</v>
      </c>
      <c r="D33" s="94">
        <f t="shared" ref="D33:N33" si="2">D34+D35+D36+D37</f>
        <v>4</v>
      </c>
      <c r="E33" s="94">
        <f t="shared" si="2"/>
        <v>5</v>
      </c>
      <c r="F33" s="94">
        <f t="shared" si="2"/>
        <v>0</v>
      </c>
      <c r="G33" s="94">
        <f t="shared" si="2"/>
        <v>3</v>
      </c>
      <c r="H33" s="94">
        <f t="shared" si="2"/>
        <v>3</v>
      </c>
      <c r="I33" s="94">
        <f t="shared" si="2"/>
        <v>3</v>
      </c>
      <c r="J33" s="94">
        <f t="shared" si="2"/>
        <v>0</v>
      </c>
      <c r="K33" s="94">
        <f t="shared" si="2"/>
        <v>0</v>
      </c>
      <c r="L33" s="94">
        <f t="shared" si="2"/>
        <v>0</v>
      </c>
      <c r="M33" s="94">
        <f t="shared" si="2"/>
        <v>0</v>
      </c>
      <c r="N33" s="94">
        <f t="shared" si="2"/>
        <v>0</v>
      </c>
    </row>
    <row r="34" spans="1:14">
      <c r="A34" s="98" t="s">
        <v>99</v>
      </c>
      <c r="B34" s="93" t="s">
        <v>49</v>
      </c>
      <c r="C34" s="97">
        <v>1</v>
      </c>
      <c r="D34" s="97">
        <v>4</v>
      </c>
      <c r="E34" s="97">
        <v>5</v>
      </c>
      <c r="F34" s="97">
        <v>0</v>
      </c>
      <c r="G34" s="97">
        <v>3</v>
      </c>
      <c r="H34" s="97">
        <v>3</v>
      </c>
      <c r="I34" s="97">
        <v>3</v>
      </c>
      <c r="J34" s="97">
        <v>0</v>
      </c>
      <c r="K34" s="97">
        <v>0</v>
      </c>
      <c r="L34" s="97">
        <v>0</v>
      </c>
      <c r="M34" s="97">
        <v>0</v>
      </c>
      <c r="N34" s="97">
        <v>0</v>
      </c>
    </row>
    <row r="35" spans="1:14">
      <c r="A35" s="98" t="s">
        <v>100</v>
      </c>
      <c r="B35" s="93" t="s">
        <v>50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</row>
    <row r="36" spans="1:14">
      <c r="A36" s="98" t="s">
        <v>101</v>
      </c>
      <c r="B36" s="93" t="s">
        <v>51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>
      <c r="A37" s="98" t="s">
        <v>102</v>
      </c>
      <c r="B37" s="93" t="s">
        <v>52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4">
      <c r="A38" s="96" t="s">
        <v>13</v>
      </c>
      <c r="B38" s="93"/>
      <c r="C38" s="94" t="s">
        <v>110</v>
      </c>
      <c r="D38" s="94" t="s">
        <v>110</v>
      </c>
      <c r="E38" s="94" t="s">
        <v>110</v>
      </c>
      <c r="F38" s="94" t="s">
        <v>110</v>
      </c>
      <c r="G38" s="94">
        <f t="shared" ref="G38:N38" si="3">G39+G40</f>
        <v>1</v>
      </c>
      <c r="H38" s="94">
        <f t="shared" si="3"/>
        <v>4</v>
      </c>
      <c r="I38" s="94">
        <f t="shared" si="3"/>
        <v>12</v>
      </c>
      <c r="J38" s="94">
        <f t="shared" si="3"/>
        <v>1</v>
      </c>
      <c r="K38" s="94">
        <f t="shared" si="3"/>
        <v>0</v>
      </c>
      <c r="L38" s="94">
        <f t="shared" si="3"/>
        <v>0</v>
      </c>
      <c r="M38" s="94">
        <f t="shared" si="3"/>
        <v>0</v>
      </c>
      <c r="N38" s="94">
        <f t="shared" si="3"/>
        <v>0</v>
      </c>
    </row>
    <row r="39" spans="1:14">
      <c r="A39" s="98" t="s">
        <v>103</v>
      </c>
      <c r="B39" s="93" t="s">
        <v>53</v>
      </c>
      <c r="C39" s="94" t="s">
        <v>110</v>
      </c>
      <c r="D39" s="94" t="s">
        <v>110</v>
      </c>
      <c r="E39" s="94" t="s">
        <v>110</v>
      </c>
      <c r="F39" s="94" t="s">
        <v>110</v>
      </c>
      <c r="G39" s="97">
        <v>1</v>
      </c>
      <c r="H39" s="97">
        <v>4</v>
      </c>
      <c r="I39" s="97">
        <v>12</v>
      </c>
      <c r="J39" s="97">
        <v>1</v>
      </c>
      <c r="K39" s="97">
        <v>0</v>
      </c>
      <c r="L39" s="97">
        <v>0</v>
      </c>
      <c r="M39" s="97">
        <v>0</v>
      </c>
      <c r="N39" s="97">
        <v>0</v>
      </c>
    </row>
    <row r="40" spans="1:14">
      <c r="A40" s="98" t="s">
        <v>104</v>
      </c>
      <c r="B40" s="93" t="s">
        <v>54</v>
      </c>
      <c r="C40" s="94" t="s">
        <v>110</v>
      </c>
      <c r="D40" s="94" t="s">
        <v>110</v>
      </c>
      <c r="E40" s="94" t="s">
        <v>110</v>
      </c>
      <c r="F40" s="94" t="s">
        <v>110</v>
      </c>
      <c r="G40" s="97"/>
      <c r="H40" s="97"/>
      <c r="I40" s="97"/>
      <c r="J40" s="97"/>
      <c r="K40" s="97"/>
      <c r="L40" s="97"/>
      <c r="M40" s="97"/>
      <c r="N40" s="97"/>
    </row>
    <row r="41" spans="1:14">
      <c r="A41" s="96" t="s">
        <v>14</v>
      </c>
      <c r="B41" s="93" t="s">
        <v>55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4">
      <c r="A42" s="96" t="s">
        <v>15</v>
      </c>
      <c r="B42" s="93" t="s">
        <v>56</v>
      </c>
      <c r="C42" s="97">
        <v>15</v>
      </c>
      <c r="D42" s="97">
        <v>48</v>
      </c>
      <c r="E42" s="97">
        <v>44</v>
      </c>
      <c r="F42" s="97">
        <v>0</v>
      </c>
      <c r="G42" s="97">
        <v>12</v>
      </c>
      <c r="H42" s="97">
        <v>39</v>
      </c>
      <c r="I42" s="97">
        <v>36</v>
      </c>
      <c r="J42" s="97">
        <v>16</v>
      </c>
      <c r="K42" s="97">
        <v>0</v>
      </c>
      <c r="L42" s="97">
        <v>0</v>
      </c>
      <c r="M42" s="97">
        <v>0</v>
      </c>
      <c r="N42" s="97">
        <v>0</v>
      </c>
    </row>
    <row r="43" spans="1:14">
      <c r="A43" s="96" t="s">
        <v>16</v>
      </c>
      <c r="B43" s="93" t="s">
        <v>57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>
      <c r="A44" s="96" t="s">
        <v>17</v>
      </c>
      <c r="B44" s="93" t="s">
        <v>58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1:14">
      <c r="A45" s="96" t="s">
        <v>18</v>
      </c>
      <c r="B45" s="93" t="s">
        <v>59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1:14">
      <c r="A46" s="96" t="s">
        <v>19</v>
      </c>
      <c r="B46" s="93" t="s">
        <v>60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1:14">
      <c r="A47" s="96" t="s">
        <v>20</v>
      </c>
      <c r="B47" s="93" t="s">
        <v>61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1:14">
      <c r="A48" s="96" t="s">
        <v>21</v>
      </c>
      <c r="B48" s="93" t="s">
        <v>62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1:14">
      <c r="A49" s="96" t="s">
        <v>22</v>
      </c>
      <c r="B49" s="93" t="s">
        <v>63</v>
      </c>
      <c r="C49" s="97"/>
      <c r="D49" s="97"/>
      <c r="E49" s="97"/>
      <c r="F49" s="97"/>
      <c r="G49" s="9"/>
      <c r="H49" s="9"/>
      <c r="I49" s="9"/>
      <c r="J49" s="9"/>
      <c r="K49" s="9"/>
      <c r="L49" s="9"/>
      <c r="M49" s="9"/>
      <c r="N49" s="9"/>
    </row>
    <row r="50" spans="1:14">
      <c r="A50" s="96" t="s">
        <v>23</v>
      </c>
      <c r="B50" s="93" t="s">
        <v>64</v>
      </c>
      <c r="C50" s="97"/>
      <c r="D50" s="97"/>
      <c r="E50" s="97"/>
      <c r="F50" s="97"/>
      <c r="G50" s="9"/>
      <c r="H50" s="9"/>
      <c r="I50" s="9"/>
      <c r="J50" s="9"/>
      <c r="K50" s="9"/>
      <c r="L50" s="9"/>
      <c r="M50" s="9"/>
      <c r="N50" s="9"/>
    </row>
    <row r="51" spans="1:14">
      <c r="A51" s="96" t="s">
        <v>24</v>
      </c>
      <c r="B51" s="93" t="s">
        <v>65</v>
      </c>
      <c r="C51" s="97"/>
      <c r="D51" s="97"/>
      <c r="E51" s="97"/>
      <c r="F51" s="97"/>
      <c r="G51" s="9"/>
      <c r="H51" s="9"/>
      <c r="I51" s="9"/>
      <c r="J51" s="9"/>
      <c r="K51" s="9"/>
      <c r="L51" s="9"/>
      <c r="M51" s="9"/>
      <c r="N51" s="9"/>
    </row>
    <row r="52" spans="1:14">
      <c r="A52" s="96" t="s">
        <v>25</v>
      </c>
      <c r="B52" s="93" t="s">
        <v>66</v>
      </c>
      <c r="C52" s="97"/>
      <c r="D52" s="97"/>
      <c r="E52" s="97"/>
      <c r="F52" s="97"/>
      <c r="G52" s="9"/>
      <c r="H52" s="9"/>
      <c r="I52" s="9"/>
      <c r="J52" s="9"/>
      <c r="K52" s="9"/>
      <c r="L52" s="9"/>
      <c r="M52" s="9"/>
      <c r="N52" s="9"/>
    </row>
    <row r="53" spans="1:14">
      <c r="A53" s="96" t="s">
        <v>26</v>
      </c>
      <c r="B53" s="93" t="s">
        <v>67</v>
      </c>
      <c r="C53" s="94" t="s">
        <v>110</v>
      </c>
      <c r="D53" s="94" t="s">
        <v>110</v>
      </c>
      <c r="E53" s="94" t="s">
        <v>110</v>
      </c>
      <c r="F53" s="94" t="s">
        <v>110</v>
      </c>
      <c r="G53" s="9"/>
      <c r="H53" s="9"/>
      <c r="I53" s="9"/>
      <c r="J53" s="9"/>
      <c r="K53" s="9"/>
      <c r="L53" s="9"/>
      <c r="M53" s="9"/>
      <c r="N53" s="9"/>
    </row>
    <row r="54" spans="1:14">
      <c r="A54" s="96" t="s">
        <v>27</v>
      </c>
      <c r="B54" s="93" t="s">
        <v>68</v>
      </c>
      <c r="C54" s="94" t="s">
        <v>110</v>
      </c>
      <c r="D54" s="94" t="s">
        <v>110</v>
      </c>
      <c r="E54" s="94" t="s">
        <v>110</v>
      </c>
      <c r="F54" s="94" t="s">
        <v>110</v>
      </c>
      <c r="G54" s="9">
        <v>6</v>
      </c>
      <c r="H54" s="9">
        <v>17</v>
      </c>
      <c r="I54" s="9">
        <v>16</v>
      </c>
      <c r="J54" s="9">
        <v>10</v>
      </c>
      <c r="K54" s="9">
        <v>0</v>
      </c>
      <c r="L54" s="9">
        <v>0</v>
      </c>
      <c r="M54" s="9">
        <v>0</v>
      </c>
      <c r="N54" s="9">
        <v>0</v>
      </c>
    </row>
    <row r="55" spans="1:14">
      <c r="A55" s="96" t="s">
        <v>28</v>
      </c>
      <c r="B55" s="93" t="s">
        <v>69</v>
      </c>
      <c r="C55" s="94" t="s">
        <v>110</v>
      </c>
      <c r="D55" s="94" t="s">
        <v>110</v>
      </c>
      <c r="E55" s="94" t="s">
        <v>110</v>
      </c>
      <c r="F55" s="94" t="s">
        <v>110</v>
      </c>
      <c r="G55" s="9"/>
      <c r="H55" s="9"/>
      <c r="I55" s="9"/>
      <c r="J55" s="9"/>
      <c r="K55" s="9"/>
      <c r="L55" s="9"/>
      <c r="M55" s="9"/>
      <c r="N55" s="9"/>
    </row>
    <row r="56" spans="1:14">
      <c r="A56" s="96" t="s">
        <v>29</v>
      </c>
      <c r="B56" s="93" t="s">
        <v>70</v>
      </c>
      <c r="C56" s="94" t="s">
        <v>110</v>
      </c>
      <c r="D56" s="94" t="s">
        <v>110</v>
      </c>
      <c r="E56" s="94" t="s">
        <v>110</v>
      </c>
      <c r="F56" s="94" t="s">
        <v>110</v>
      </c>
      <c r="G56" s="9"/>
      <c r="H56" s="9"/>
      <c r="I56" s="9"/>
      <c r="J56" s="9"/>
      <c r="K56" s="9"/>
      <c r="L56" s="9"/>
      <c r="M56" s="9"/>
      <c r="N56" s="9"/>
    </row>
    <row r="57" spans="1:14">
      <c r="A57" s="96" t="s">
        <v>73</v>
      </c>
      <c r="B57" s="93" t="s">
        <v>71</v>
      </c>
      <c r="C57" s="94" t="s">
        <v>110</v>
      </c>
      <c r="D57" s="94" t="s">
        <v>110</v>
      </c>
      <c r="E57" s="94" t="s">
        <v>110</v>
      </c>
      <c r="F57" s="94" t="s">
        <v>110</v>
      </c>
      <c r="G57" s="9">
        <v>0</v>
      </c>
      <c r="H57" s="9">
        <v>19</v>
      </c>
      <c r="I57" s="9">
        <v>19</v>
      </c>
      <c r="J57" s="9">
        <v>4</v>
      </c>
      <c r="K57" s="9">
        <v>50</v>
      </c>
      <c r="L57" s="9">
        <v>50</v>
      </c>
      <c r="M57" s="9">
        <v>51</v>
      </c>
      <c r="N57" s="9">
        <v>51</v>
      </c>
    </row>
    <row r="58" spans="1:14">
      <c r="A58" s="132" t="s">
        <v>30</v>
      </c>
      <c r="B58" s="133"/>
      <c r="C58" s="99">
        <f>C13+C14+C22+C33+C41+C42+C43+C44+C45+C46+C47+C48+C49+C50+C51+C52</f>
        <v>28</v>
      </c>
      <c r="D58" s="99">
        <f>D13+D14+D22+D33+D41+D42+D43+D44+D45+D46+D47+D48+D49+D50+D51+D52</f>
        <v>112</v>
      </c>
      <c r="E58" s="99">
        <f>E13+E14+E22+E33+E41+E42+E43+E44+E45+E46+E47+E48+E49+E50+E51+E52</f>
        <v>108</v>
      </c>
      <c r="F58" s="99">
        <f>F13+F14+F22+F33+F41+F42+F43+F44+F45+F46+F47+F48+F49+F50+F51+F52</f>
        <v>0</v>
      </c>
      <c r="G58" s="99">
        <f t="shared" ref="G58:N58" si="4">G13+G14+G22+G33+G38+G41+G42+G43+G44+G45+G46+G47+G48+G49+G50+G51+G52+G53+G54+G55+G56+G57</f>
        <v>47</v>
      </c>
      <c r="H58" s="99">
        <f t="shared" si="4"/>
        <v>173</v>
      </c>
      <c r="I58" s="99">
        <f t="shared" si="4"/>
        <v>177</v>
      </c>
      <c r="J58" s="99">
        <f t="shared" si="4"/>
        <v>69</v>
      </c>
      <c r="K58" s="99">
        <f t="shared" si="4"/>
        <v>50</v>
      </c>
      <c r="L58" s="99">
        <f t="shared" si="4"/>
        <v>50</v>
      </c>
      <c r="M58" s="99">
        <f t="shared" si="4"/>
        <v>51</v>
      </c>
      <c r="N58" s="99">
        <f t="shared" si="4"/>
        <v>51</v>
      </c>
    </row>
    <row r="60" spans="1:14" ht="15.75">
      <c r="A60" s="135" t="s">
        <v>169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2" spans="1:14">
      <c r="A62" s="6"/>
      <c r="B62" s="134" t="s">
        <v>79</v>
      </c>
      <c r="C62" s="134"/>
      <c r="D62" s="134"/>
      <c r="E62" s="134"/>
      <c r="F62" s="134" t="s">
        <v>80</v>
      </c>
      <c r="G62" s="134"/>
      <c r="H62" s="134"/>
      <c r="I62" s="134" t="s">
        <v>81</v>
      </c>
      <c r="J62" s="134"/>
      <c r="K62" s="134"/>
    </row>
    <row r="63" spans="1:14">
      <c r="A63" s="6"/>
      <c r="B63" s="134">
        <v>1</v>
      </c>
      <c r="C63" s="134"/>
      <c r="D63" s="134"/>
      <c r="E63" s="134"/>
      <c r="F63" s="134">
        <v>2</v>
      </c>
      <c r="G63" s="134"/>
      <c r="H63" s="134"/>
      <c r="I63" s="134">
        <v>3</v>
      </c>
      <c r="J63" s="134"/>
      <c r="K63" s="134"/>
    </row>
    <row r="64" spans="1:14">
      <c r="A64" s="7"/>
      <c r="B64" s="142" t="s">
        <v>77</v>
      </c>
      <c r="C64" s="142"/>
      <c r="D64" s="142"/>
      <c r="E64" s="142"/>
      <c r="F64" s="143">
        <f>D58+H58</f>
        <v>285</v>
      </c>
      <c r="G64" s="143"/>
      <c r="H64" s="143"/>
      <c r="I64" s="143">
        <f>L58</f>
        <v>50</v>
      </c>
      <c r="J64" s="143"/>
      <c r="K64" s="143"/>
    </row>
    <row r="65" spans="1:11">
      <c r="A65" s="7"/>
      <c r="B65" s="142" t="s">
        <v>78</v>
      </c>
      <c r="C65" s="142"/>
      <c r="D65" s="142"/>
      <c r="E65" s="142"/>
      <c r="F65" s="143">
        <f>E58+I58</f>
        <v>285</v>
      </c>
      <c r="G65" s="143"/>
      <c r="H65" s="143"/>
      <c r="I65" s="143">
        <f>M58</f>
        <v>51</v>
      </c>
      <c r="J65" s="143"/>
      <c r="K65" s="143"/>
    </row>
  </sheetData>
  <sheetProtection password="CC6D" sheet="1" objects="1" scenarios="1" selectLockedCells="1"/>
  <mergeCells count="25">
    <mergeCell ref="B65:E65"/>
    <mergeCell ref="I62:K62"/>
    <mergeCell ref="I63:K63"/>
    <mergeCell ref="I64:K64"/>
    <mergeCell ref="I65:K65"/>
    <mergeCell ref="F63:H63"/>
    <mergeCell ref="F64:H64"/>
    <mergeCell ref="F65:H65"/>
    <mergeCell ref="B63:E63"/>
    <mergeCell ref="B64:E64"/>
    <mergeCell ref="A58:B58"/>
    <mergeCell ref="F62:H62"/>
    <mergeCell ref="A60:N60"/>
    <mergeCell ref="B62:E62"/>
    <mergeCell ref="B9:B11"/>
    <mergeCell ref="A9:A11"/>
    <mergeCell ref="K9:N10"/>
    <mergeCell ref="G10:J10"/>
    <mergeCell ref="C10:F10"/>
    <mergeCell ref="C9:J9"/>
    <mergeCell ref="A7:N7"/>
    <mergeCell ref="A2:N2"/>
    <mergeCell ref="A3:N3"/>
    <mergeCell ref="A5:C5"/>
    <mergeCell ref="D5:J5"/>
  </mergeCells>
  <dataValidations count="8">
    <dataValidation type="whole" allowBlank="1" showErrorMessage="1" error="Введите либо 0, либо целое положительное число." sqref="G57:N57">
      <formula1>0</formula1>
      <formula2>800</formula2>
    </dataValidation>
    <dataValidation type="whole" allowBlank="1" showInputMessage="1" showErrorMessage="1" sqref="C34:N37">
      <formula1>0</formula1>
      <formula2>100</formula2>
    </dataValidation>
    <dataValidation type="whole" allowBlank="1" showErrorMessage="1" error="Введите либо 0, либо целое положительное число." sqref="C13:N13 C45:N46 C47:N48">
      <formula1>0</formula1>
      <formula2>150</formula2>
    </dataValidation>
    <dataValidation type="whole" allowBlank="1" showErrorMessage="1" error="Введите либо 0, либо целое положительное число." sqref="C23:N32 C15:N21 C41:N43 C50:N52 G53:N56">
      <formula1>0</formula1>
      <formula2>100</formula2>
    </dataValidation>
    <dataValidation type="whole" allowBlank="1" showErrorMessage="1" error="Введите либо 0, либо целое положительное число." sqref="G39:N40">
      <formula1>0</formula1>
      <formula2>30</formula2>
    </dataValidation>
    <dataValidation type="whole" allowBlank="1" showErrorMessage="1" error="Введите либо 0, либо целое положительное число." sqref="C44:N44">
      <formula1>0</formula1>
      <formula2>500</formula2>
    </dataValidation>
    <dataValidation type="whole" allowBlank="1" showErrorMessage="1" error="Введите либо 0, либо целое положительное число." sqref="C49:N49">
      <formula1>0</formula1>
      <formula2>200</formula2>
    </dataValidation>
    <dataValidation type="date" allowBlank="1" showErrorMessage="1" error="Введите дату рождения в формате &quot;день.месяц.год&quot;." sqref="L5:M5">
      <formula1>367</formula1>
      <formula2>36525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ignoredErrors>
    <ignoredError sqref="B13:B57" numberStoredAsText="1"/>
    <ignoredError sqref="F58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5"/>
  <sheetViews>
    <sheetView view="pageLayout" topLeftCell="A4" workbookViewId="0">
      <selection activeCell="H10" sqref="H10"/>
    </sheetView>
  </sheetViews>
  <sheetFormatPr defaultRowHeight="15"/>
  <cols>
    <col min="1" max="1" width="4" customWidth="1"/>
    <col min="2" max="2" width="15.85546875" customWidth="1"/>
    <col min="3" max="3" width="8.7109375" customWidth="1"/>
    <col min="4" max="4" width="7.42578125" customWidth="1"/>
    <col min="5" max="5" width="13.7109375" customWidth="1"/>
    <col min="6" max="6" width="25.28515625" customWidth="1"/>
    <col min="7" max="7" width="15.42578125" customWidth="1"/>
    <col min="8" max="8" width="11.42578125" customWidth="1"/>
    <col min="9" max="9" width="9.42578125" customWidth="1"/>
    <col min="10" max="10" width="19.85546875" customWidth="1"/>
  </cols>
  <sheetData>
    <row r="1" spans="1:10" ht="15.75">
      <c r="A1" s="127" t="s">
        <v>347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>
      <c r="A3" s="130" t="s">
        <v>190</v>
      </c>
      <c r="B3" s="130"/>
      <c r="C3" s="130"/>
      <c r="D3" s="130"/>
      <c r="E3" s="23">
        <v>5</v>
      </c>
      <c r="F3" s="25"/>
      <c r="G3" s="25"/>
      <c r="H3" s="25"/>
      <c r="I3" s="25"/>
      <c r="J3" s="25"/>
    </row>
    <row r="4" spans="1:10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75.75" customHeight="1">
      <c r="A5" s="114" t="s">
        <v>180</v>
      </c>
      <c r="B5" s="114" t="s">
        <v>181</v>
      </c>
      <c r="C5" s="114" t="s">
        <v>182</v>
      </c>
      <c r="D5" s="114" t="s">
        <v>186</v>
      </c>
      <c r="E5" s="114" t="s">
        <v>188</v>
      </c>
      <c r="F5" s="114" t="s">
        <v>338</v>
      </c>
      <c r="G5" s="114" t="s">
        <v>189</v>
      </c>
      <c r="H5" s="114" t="s">
        <v>183</v>
      </c>
      <c r="I5" s="114" t="s">
        <v>184</v>
      </c>
      <c r="J5" s="114" t="s">
        <v>185</v>
      </c>
    </row>
    <row r="6" spans="1:10" ht="178.5">
      <c r="A6" s="26">
        <f>IF(1&lt;=E3,1,"")</f>
        <v>1</v>
      </c>
      <c r="B6" s="122" t="s">
        <v>426</v>
      </c>
      <c r="C6" s="32">
        <v>32652</v>
      </c>
      <c r="D6" s="31">
        <f ca="1">IF(C6&gt;0,DATEDIF(C6,TODAY(),"y"),"")</f>
        <v>30</v>
      </c>
      <c r="E6" s="36" t="s">
        <v>427</v>
      </c>
      <c r="F6" s="122" t="s">
        <v>429</v>
      </c>
      <c r="G6" s="36">
        <v>8</v>
      </c>
      <c r="H6" s="32">
        <v>40787</v>
      </c>
      <c r="I6" s="36" t="s">
        <v>404</v>
      </c>
      <c r="J6" s="29"/>
    </row>
    <row r="7" spans="1:10" ht="331.5">
      <c r="A7" s="26">
        <f>IF(A6&lt;E3,2,"")</f>
        <v>2</v>
      </c>
      <c r="B7" s="122" t="s">
        <v>432</v>
      </c>
      <c r="C7" s="32">
        <v>29905</v>
      </c>
      <c r="D7" s="31">
        <f t="shared" ref="D7:D25" ca="1" si="0">IF(C7&gt;0,DATEDIF(C7,TODAY(),"y"),"")</f>
        <v>37</v>
      </c>
      <c r="E7" s="36" t="s">
        <v>427</v>
      </c>
      <c r="F7" s="122" t="s">
        <v>433</v>
      </c>
      <c r="G7" s="36">
        <v>17</v>
      </c>
      <c r="H7" s="32">
        <v>42780</v>
      </c>
      <c r="I7" s="36" t="s">
        <v>405</v>
      </c>
      <c r="J7" s="29"/>
    </row>
    <row r="8" spans="1:10" ht="178.5">
      <c r="A8" s="26">
        <f>IF(A7&lt;E3,3,"")</f>
        <v>3</v>
      </c>
      <c r="B8" s="122" t="s">
        <v>438</v>
      </c>
      <c r="C8" s="32">
        <v>32180</v>
      </c>
      <c r="D8" s="31">
        <f t="shared" ca="1" si="0"/>
        <v>31</v>
      </c>
      <c r="E8" s="36" t="s">
        <v>427</v>
      </c>
      <c r="F8" s="122" t="s">
        <v>439</v>
      </c>
      <c r="G8" s="36">
        <v>11</v>
      </c>
      <c r="H8" s="32">
        <v>42979</v>
      </c>
      <c r="I8" s="36" t="s">
        <v>408</v>
      </c>
      <c r="J8" s="29"/>
    </row>
    <row r="9" spans="1:10" ht="165.75">
      <c r="A9" s="27">
        <f>IF(A8&lt;E3,4,"")</f>
        <v>4</v>
      </c>
      <c r="B9" s="123" t="s">
        <v>442</v>
      </c>
      <c r="C9" s="32">
        <v>26467</v>
      </c>
      <c r="D9" s="31">
        <f t="shared" ca="1" si="0"/>
        <v>46</v>
      </c>
      <c r="E9" s="36" t="s">
        <v>427</v>
      </c>
      <c r="F9" s="122" t="s">
        <v>443</v>
      </c>
      <c r="G9" s="36">
        <v>23</v>
      </c>
      <c r="H9" s="32">
        <v>43344</v>
      </c>
      <c r="I9" s="36" t="s">
        <v>404</v>
      </c>
      <c r="J9" s="29"/>
    </row>
    <row r="10" spans="1:10" ht="76.5">
      <c r="A10" s="27">
        <f>IF(A9&lt;E3,5,"")</f>
        <v>5</v>
      </c>
      <c r="B10" s="123" t="s">
        <v>449</v>
      </c>
      <c r="C10" s="32">
        <v>22304</v>
      </c>
      <c r="D10" s="31">
        <f t="shared" ca="1" si="0"/>
        <v>58</v>
      </c>
      <c r="E10" s="36" t="s">
        <v>427</v>
      </c>
      <c r="F10" s="125" t="s">
        <v>481</v>
      </c>
      <c r="G10" s="36">
        <v>34</v>
      </c>
      <c r="H10" s="32">
        <v>37571</v>
      </c>
      <c r="I10" s="36" t="s">
        <v>404</v>
      </c>
      <c r="J10" s="29"/>
    </row>
    <row r="11" spans="1:10">
      <c r="A11" s="27" t="str">
        <f>IF(A10&lt;E3,6,"")</f>
        <v/>
      </c>
      <c r="B11" s="30"/>
      <c r="C11" s="32"/>
      <c r="D11" s="31" t="str">
        <f t="shared" ca="1" si="0"/>
        <v/>
      </c>
      <c r="E11" s="36"/>
      <c r="F11" s="29"/>
      <c r="G11" s="36"/>
      <c r="H11" s="32"/>
      <c r="I11" s="36"/>
      <c r="J11" s="29"/>
    </row>
    <row r="12" spans="1:10">
      <c r="A12" s="27" t="str">
        <f>IF(A11&lt;E3,7,"")</f>
        <v/>
      </c>
      <c r="B12" s="30"/>
      <c r="C12" s="32"/>
      <c r="D12" s="31" t="str">
        <f t="shared" ca="1" si="0"/>
        <v/>
      </c>
      <c r="E12" s="36"/>
      <c r="F12" s="29"/>
      <c r="G12" s="36"/>
      <c r="H12" s="32"/>
      <c r="I12" s="36"/>
      <c r="J12" s="29"/>
    </row>
    <row r="13" spans="1:10">
      <c r="A13" s="27" t="str">
        <f>IF(A12&lt;E3,8,"")</f>
        <v/>
      </c>
      <c r="B13" s="30"/>
      <c r="C13" s="32"/>
      <c r="D13" s="31" t="str">
        <f t="shared" ca="1" si="0"/>
        <v/>
      </c>
      <c r="E13" s="36"/>
      <c r="F13" s="29"/>
      <c r="G13" s="36"/>
      <c r="H13" s="32"/>
      <c r="I13" s="36"/>
      <c r="J13" s="29"/>
    </row>
    <row r="14" spans="1:10">
      <c r="A14" s="27" t="str">
        <f>IF(A13&lt;E3,9,"")</f>
        <v/>
      </c>
      <c r="B14" s="30"/>
      <c r="C14" s="33"/>
      <c r="D14" s="31" t="str">
        <f t="shared" ca="1" si="0"/>
        <v/>
      </c>
      <c r="E14" s="36"/>
      <c r="F14" s="29"/>
      <c r="G14" s="36"/>
      <c r="H14" s="32"/>
      <c r="I14" s="36"/>
      <c r="J14" s="29"/>
    </row>
    <row r="15" spans="1:10">
      <c r="A15" s="27" t="str">
        <f>IF(A14&lt;E3,10,"")</f>
        <v/>
      </c>
      <c r="B15" s="30"/>
      <c r="C15" s="33"/>
      <c r="D15" s="31" t="str">
        <f t="shared" ca="1" si="0"/>
        <v/>
      </c>
      <c r="E15" s="36"/>
      <c r="F15" s="29"/>
      <c r="G15" s="36"/>
      <c r="H15" s="32"/>
      <c r="I15" s="36"/>
      <c r="J15" s="29"/>
    </row>
    <row r="16" spans="1:10">
      <c r="A16" s="27" t="str">
        <f>IF(A15&lt;E3,11,"")</f>
        <v/>
      </c>
      <c r="B16" s="30"/>
      <c r="C16" s="33"/>
      <c r="D16" s="31" t="str">
        <f t="shared" ca="1" si="0"/>
        <v/>
      </c>
      <c r="E16" s="36"/>
      <c r="F16" s="29"/>
      <c r="G16" s="36"/>
      <c r="H16" s="32"/>
      <c r="I16" s="36"/>
      <c r="J16" s="29"/>
    </row>
    <row r="17" spans="1:10">
      <c r="A17" s="27" t="str">
        <f>IF(A16&lt;E3,12,"")</f>
        <v/>
      </c>
      <c r="B17" s="30"/>
      <c r="C17" s="33"/>
      <c r="D17" s="31" t="str">
        <f t="shared" ca="1" si="0"/>
        <v/>
      </c>
      <c r="E17" s="36"/>
      <c r="F17" s="29"/>
      <c r="G17" s="36"/>
      <c r="H17" s="32"/>
      <c r="I17" s="36"/>
      <c r="J17" s="29"/>
    </row>
    <row r="18" spans="1:10">
      <c r="A18" s="27" t="str">
        <f>IF(A17&lt;E3,13,"")</f>
        <v/>
      </c>
      <c r="B18" s="30"/>
      <c r="C18" s="33"/>
      <c r="D18" s="31" t="str">
        <f t="shared" ca="1" si="0"/>
        <v/>
      </c>
      <c r="E18" s="36"/>
      <c r="F18" s="29"/>
      <c r="G18" s="36"/>
      <c r="H18" s="32"/>
      <c r="I18" s="36"/>
      <c r="J18" s="29"/>
    </row>
    <row r="19" spans="1:10">
      <c r="A19" s="27" t="str">
        <f>IF(A18&lt;E3,14,"")</f>
        <v/>
      </c>
      <c r="B19" s="30"/>
      <c r="C19" s="33"/>
      <c r="D19" s="31" t="str">
        <f t="shared" ca="1" si="0"/>
        <v/>
      </c>
      <c r="E19" s="36"/>
      <c r="F19" s="29"/>
      <c r="G19" s="36"/>
      <c r="H19" s="32"/>
      <c r="I19" s="36"/>
      <c r="J19" s="29"/>
    </row>
    <row r="20" spans="1:10">
      <c r="A20" s="27" t="str">
        <f>IF(A19&lt;E3,15,"")</f>
        <v/>
      </c>
      <c r="B20" s="30"/>
      <c r="C20" s="33"/>
      <c r="D20" s="31" t="str">
        <f t="shared" ca="1" si="0"/>
        <v/>
      </c>
      <c r="E20" s="36"/>
      <c r="F20" s="29"/>
      <c r="G20" s="36"/>
      <c r="H20" s="32"/>
      <c r="I20" s="36"/>
      <c r="J20" s="29"/>
    </row>
    <row r="21" spans="1:10">
      <c r="A21" s="27" t="str">
        <f>IF(A20&lt;E3,16,"")</f>
        <v/>
      </c>
      <c r="B21" s="30"/>
      <c r="C21" s="33"/>
      <c r="D21" s="31" t="str">
        <f t="shared" ca="1" si="0"/>
        <v/>
      </c>
      <c r="E21" s="36"/>
      <c r="F21" s="29"/>
      <c r="G21" s="36"/>
      <c r="H21" s="32"/>
      <c r="I21" s="36"/>
      <c r="J21" s="29"/>
    </row>
    <row r="22" spans="1:10">
      <c r="A22" s="27" t="str">
        <f>IF(A21&lt;E3,17,"")</f>
        <v/>
      </c>
      <c r="B22" s="30"/>
      <c r="C22" s="33"/>
      <c r="D22" s="31" t="str">
        <f t="shared" ca="1" si="0"/>
        <v/>
      </c>
      <c r="E22" s="36"/>
      <c r="F22" s="29"/>
      <c r="G22" s="36"/>
      <c r="H22" s="32"/>
      <c r="I22" s="36"/>
      <c r="J22" s="29"/>
    </row>
    <row r="23" spans="1:10">
      <c r="A23" s="27" t="str">
        <f>IF(A22&lt;E3,18,"")</f>
        <v/>
      </c>
      <c r="B23" s="30"/>
      <c r="C23" s="33"/>
      <c r="D23" s="31" t="str">
        <f t="shared" ca="1" si="0"/>
        <v/>
      </c>
      <c r="E23" s="36"/>
      <c r="F23" s="29"/>
      <c r="G23" s="36"/>
      <c r="H23" s="32"/>
      <c r="I23" s="36"/>
      <c r="J23" s="29"/>
    </row>
    <row r="24" spans="1:10">
      <c r="A24" s="27" t="str">
        <f>IF(A23&lt;E3,19,"")</f>
        <v/>
      </c>
      <c r="B24" s="30"/>
      <c r="C24" s="33"/>
      <c r="D24" s="31" t="str">
        <f t="shared" ca="1" si="0"/>
        <v/>
      </c>
      <c r="E24" s="36"/>
      <c r="F24" s="29"/>
      <c r="G24" s="36"/>
      <c r="H24" s="32"/>
      <c r="I24" s="36"/>
      <c r="J24" s="29"/>
    </row>
    <row r="25" spans="1:10">
      <c r="A25" s="27" t="str">
        <f>IF(A24&lt;E3,20,"")</f>
        <v/>
      </c>
      <c r="B25" s="30"/>
      <c r="C25" s="33"/>
      <c r="D25" s="31" t="str">
        <f t="shared" ca="1" si="0"/>
        <v/>
      </c>
      <c r="E25" s="36"/>
      <c r="F25" s="29"/>
      <c r="G25" s="36"/>
      <c r="H25" s="32"/>
      <c r="I25" s="36"/>
      <c r="J25" s="29"/>
    </row>
    <row r="26" spans="1:10">
      <c r="A26" s="46"/>
      <c r="B26" s="47"/>
      <c r="C26" s="48"/>
      <c r="D26" s="49"/>
      <c r="E26" s="50"/>
      <c r="F26" s="51"/>
      <c r="G26" s="50"/>
      <c r="H26" s="52"/>
      <c r="I26" s="50"/>
      <c r="J26" s="53"/>
    </row>
    <row r="27" spans="1:10">
      <c r="A27" s="46"/>
      <c r="B27" s="47"/>
      <c r="C27" s="52"/>
      <c r="D27" s="49"/>
      <c r="E27" s="50"/>
      <c r="F27" s="51"/>
      <c r="G27" s="50"/>
      <c r="H27" s="52"/>
      <c r="I27" s="50"/>
      <c r="J27" s="53"/>
    </row>
    <row r="28" spans="1:10">
      <c r="A28" s="46"/>
      <c r="B28" s="47"/>
      <c r="C28" s="52"/>
      <c r="D28" s="49"/>
      <c r="E28" s="50"/>
      <c r="F28" s="51"/>
      <c r="G28" s="50"/>
      <c r="H28" s="52"/>
      <c r="I28" s="50"/>
      <c r="J28" s="53"/>
    </row>
    <row r="29" spans="1:10">
      <c r="A29" s="46"/>
      <c r="B29" s="47"/>
      <c r="C29" s="52"/>
      <c r="D29" s="49"/>
      <c r="E29" s="50"/>
      <c r="F29" s="51"/>
      <c r="G29" s="50"/>
      <c r="H29" s="52"/>
      <c r="I29" s="50"/>
      <c r="J29" s="53"/>
    </row>
    <row r="30" spans="1:10">
      <c r="A30" s="46"/>
      <c r="B30" s="47"/>
      <c r="C30" s="52"/>
      <c r="D30" s="49"/>
      <c r="E30" s="50"/>
      <c r="F30" s="51"/>
      <c r="G30" s="50"/>
      <c r="H30" s="52"/>
      <c r="I30" s="50"/>
      <c r="J30" s="53"/>
    </row>
    <row r="31" spans="1:10">
      <c r="A31" s="46"/>
      <c r="B31" s="47"/>
      <c r="C31" s="52"/>
      <c r="D31" s="49"/>
      <c r="E31" s="50"/>
      <c r="F31" s="51"/>
      <c r="G31" s="50"/>
      <c r="H31" s="52"/>
      <c r="I31" s="50"/>
      <c r="J31" s="53"/>
    </row>
    <row r="32" spans="1:10">
      <c r="A32" s="46"/>
      <c r="B32" s="47"/>
      <c r="C32" s="52"/>
      <c r="D32" s="49"/>
      <c r="E32" s="50"/>
      <c r="F32" s="51"/>
      <c r="G32" s="50"/>
      <c r="H32" s="52"/>
      <c r="I32" s="50"/>
      <c r="J32" s="53"/>
    </row>
    <row r="33" spans="1:10">
      <c r="A33" s="46"/>
      <c r="B33" s="47"/>
      <c r="C33" s="52"/>
      <c r="D33" s="49"/>
      <c r="E33" s="50"/>
      <c r="F33" s="51"/>
      <c r="G33" s="50"/>
      <c r="H33" s="52"/>
      <c r="I33" s="50"/>
      <c r="J33" s="53"/>
    </row>
    <row r="34" spans="1:10">
      <c r="A34" s="46"/>
      <c r="B34" s="47"/>
      <c r="C34" s="52"/>
      <c r="D34" s="49"/>
      <c r="E34" s="50"/>
      <c r="F34" s="51"/>
      <c r="G34" s="50"/>
      <c r="H34" s="52"/>
      <c r="I34" s="50"/>
      <c r="J34" s="53"/>
    </row>
    <row r="35" spans="1:10">
      <c r="A35" s="46"/>
      <c r="B35" s="55"/>
      <c r="C35" s="56"/>
      <c r="D35" s="49"/>
      <c r="E35" s="57"/>
      <c r="F35" s="58"/>
      <c r="G35" s="57"/>
      <c r="H35" s="56"/>
      <c r="I35" s="57"/>
      <c r="J35" s="59"/>
    </row>
    <row r="36" spans="1:10">
      <c r="A36" s="46"/>
      <c r="B36" s="55"/>
      <c r="C36" s="56"/>
      <c r="D36" s="49"/>
      <c r="E36" s="57"/>
      <c r="F36" s="58"/>
      <c r="G36" s="57"/>
      <c r="H36" s="56"/>
      <c r="I36" s="57"/>
      <c r="J36" s="59"/>
    </row>
    <row r="37" spans="1:10">
      <c r="A37" s="46"/>
      <c r="B37" s="55"/>
      <c r="C37" s="56"/>
      <c r="D37" s="49"/>
      <c r="E37" s="57"/>
      <c r="F37" s="58"/>
      <c r="G37" s="57"/>
      <c r="H37" s="56"/>
      <c r="I37" s="57"/>
      <c r="J37" s="59"/>
    </row>
    <row r="38" spans="1:10">
      <c r="A38" s="46"/>
      <c r="B38" s="55"/>
      <c r="C38" s="56"/>
      <c r="D38" s="49"/>
      <c r="E38" s="57"/>
      <c r="F38" s="58"/>
      <c r="G38" s="57"/>
      <c r="H38" s="56"/>
      <c r="I38" s="57"/>
      <c r="J38" s="59"/>
    </row>
    <row r="39" spans="1:10">
      <c r="A39" s="46"/>
      <c r="B39" s="55"/>
      <c r="C39" s="56"/>
      <c r="D39" s="49"/>
      <c r="E39" s="57"/>
      <c r="F39" s="58"/>
      <c r="G39" s="57"/>
      <c r="H39" s="56"/>
      <c r="I39" s="57"/>
      <c r="J39" s="59"/>
    </row>
    <row r="40" spans="1:10">
      <c r="A40" s="46"/>
      <c r="B40" s="55"/>
      <c r="C40" s="56"/>
      <c r="D40" s="49"/>
      <c r="E40" s="57"/>
      <c r="F40" s="58"/>
      <c r="G40" s="57"/>
      <c r="H40" s="56"/>
      <c r="I40" s="57"/>
      <c r="J40" s="59"/>
    </row>
    <row r="41" spans="1:10">
      <c r="A41" s="46"/>
      <c r="B41" s="55"/>
      <c r="C41" s="56"/>
      <c r="D41" s="49"/>
      <c r="E41" s="57"/>
      <c r="F41" s="58"/>
      <c r="G41" s="57"/>
      <c r="H41" s="56"/>
      <c r="I41" s="57"/>
      <c r="J41" s="59"/>
    </row>
    <row r="42" spans="1:10">
      <c r="A42" s="46"/>
      <c r="B42" s="55"/>
      <c r="C42" s="56"/>
      <c r="D42" s="49"/>
      <c r="E42" s="57"/>
      <c r="F42" s="58"/>
      <c r="G42" s="57"/>
      <c r="H42" s="56"/>
      <c r="I42" s="57"/>
      <c r="J42" s="59"/>
    </row>
    <row r="43" spans="1:10">
      <c r="A43" s="46"/>
      <c r="B43" s="55"/>
      <c r="C43" s="56"/>
      <c r="D43" s="49"/>
      <c r="E43" s="57"/>
      <c r="F43" s="58"/>
      <c r="G43" s="57"/>
      <c r="H43" s="56"/>
      <c r="I43" s="57"/>
      <c r="J43" s="59"/>
    </row>
    <row r="44" spans="1:10">
      <c r="A44" s="46"/>
      <c r="B44" s="55"/>
      <c r="C44" s="56"/>
      <c r="D44" s="49"/>
      <c r="E44" s="57"/>
      <c r="F44" s="58"/>
      <c r="G44" s="57"/>
      <c r="H44" s="56"/>
      <c r="I44" s="57"/>
      <c r="J44" s="59"/>
    </row>
    <row r="45" spans="1:10">
      <c r="A45" s="46"/>
      <c r="B45" s="55"/>
      <c r="C45" s="56"/>
      <c r="D45" s="49"/>
      <c r="E45" s="57"/>
      <c r="F45" s="58"/>
      <c r="G45" s="57"/>
      <c r="H45" s="56"/>
      <c r="I45" s="57"/>
      <c r="J45" s="59"/>
    </row>
    <row r="46" spans="1:10">
      <c r="A46" s="46"/>
      <c r="B46" s="55"/>
      <c r="C46" s="56"/>
      <c r="D46" s="49"/>
      <c r="E46" s="57"/>
      <c r="F46" s="58"/>
      <c r="G46" s="57"/>
      <c r="H46" s="56"/>
      <c r="I46" s="57"/>
      <c r="J46" s="59"/>
    </row>
    <row r="47" spans="1:10">
      <c r="A47" s="46"/>
      <c r="B47" s="55"/>
      <c r="C47" s="56"/>
      <c r="D47" s="49"/>
      <c r="E47" s="57"/>
      <c r="F47" s="58"/>
      <c r="G47" s="57"/>
      <c r="H47" s="56"/>
      <c r="I47" s="57"/>
      <c r="J47" s="59"/>
    </row>
    <row r="48" spans="1:10">
      <c r="A48" s="46"/>
      <c r="B48" s="55"/>
      <c r="C48" s="56"/>
      <c r="D48" s="49"/>
      <c r="E48" s="57"/>
      <c r="F48" s="58"/>
      <c r="G48" s="57"/>
      <c r="H48" s="56"/>
      <c r="I48" s="57"/>
      <c r="J48" s="59"/>
    </row>
    <row r="49" spans="1:10">
      <c r="A49" s="46"/>
      <c r="B49" s="55"/>
      <c r="C49" s="56"/>
      <c r="D49" s="49"/>
      <c r="E49" s="57"/>
      <c r="F49" s="58"/>
      <c r="G49" s="57"/>
      <c r="H49" s="56"/>
      <c r="I49" s="57"/>
      <c r="J49" s="59"/>
    </row>
    <row r="50" spans="1:10">
      <c r="A50" s="46"/>
      <c r="B50" s="55"/>
      <c r="C50" s="56"/>
      <c r="D50" s="49"/>
      <c r="E50" s="57"/>
      <c r="F50" s="58"/>
      <c r="G50" s="57"/>
      <c r="H50" s="56"/>
      <c r="I50" s="57"/>
      <c r="J50" s="59"/>
    </row>
    <row r="51" spans="1:10">
      <c r="A51" s="46"/>
      <c r="B51" s="55"/>
      <c r="C51" s="56"/>
      <c r="D51" s="49"/>
      <c r="E51" s="57"/>
      <c r="F51" s="58"/>
      <c r="G51" s="57"/>
      <c r="H51" s="56"/>
      <c r="I51" s="57"/>
      <c r="J51" s="59"/>
    </row>
    <row r="52" spans="1:10">
      <c r="A52" s="46"/>
      <c r="B52" s="55"/>
      <c r="C52" s="56"/>
      <c r="D52" s="49"/>
      <c r="E52" s="57"/>
      <c r="F52" s="58"/>
      <c r="G52" s="57"/>
      <c r="H52" s="56"/>
      <c r="I52" s="57"/>
      <c r="J52" s="59"/>
    </row>
    <row r="53" spans="1:10">
      <c r="A53" s="46"/>
      <c r="B53" s="55"/>
      <c r="C53" s="56"/>
      <c r="D53" s="49"/>
      <c r="E53" s="57"/>
      <c r="F53" s="58"/>
      <c r="G53" s="57"/>
      <c r="H53" s="56"/>
      <c r="I53" s="57"/>
      <c r="J53" s="59"/>
    </row>
    <row r="54" spans="1:10">
      <c r="A54" s="46"/>
      <c r="B54" s="55"/>
      <c r="C54" s="56"/>
      <c r="D54" s="49"/>
      <c r="E54" s="57"/>
      <c r="F54" s="58"/>
      <c r="G54" s="57"/>
      <c r="H54" s="56"/>
      <c r="I54" s="57"/>
      <c r="J54" s="59"/>
    </row>
    <row r="55" spans="1:10">
      <c r="A55" s="46"/>
      <c r="B55" s="55"/>
      <c r="C55" s="56"/>
      <c r="D55" s="49"/>
      <c r="E55" s="57"/>
      <c r="F55" s="58"/>
      <c r="G55" s="57"/>
      <c r="H55" s="56"/>
      <c r="I55" s="57"/>
      <c r="J55" s="59"/>
    </row>
    <row r="56" spans="1:10">
      <c r="A56" s="46"/>
      <c r="B56" s="55"/>
      <c r="C56" s="56"/>
      <c r="D56" s="49"/>
      <c r="E56" s="57"/>
      <c r="F56" s="58"/>
      <c r="G56" s="57"/>
      <c r="H56" s="56"/>
      <c r="I56" s="57"/>
      <c r="J56" s="59"/>
    </row>
    <row r="57" spans="1:10">
      <c r="A57" s="46"/>
      <c r="B57" s="55"/>
      <c r="C57" s="56"/>
      <c r="D57" s="49"/>
      <c r="E57" s="57"/>
      <c r="F57" s="58"/>
      <c r="G57" s="57"/>
      <c r="H57" s="56"/>
      <c r="I57" s="57"/>
      <c r="J57" s="59"/>
    </row>
    <row r="58" spans="1:10">
      <c r="A58" s="46"/>
      <c r="B58" s="55"/>
      <c r="C58" s="56"/>
      <c r="D58" s="49"/>
      <c r="E58" s="57"/>
      <c r="F58" s="58"/>
      <c r="G58" s="57"/>
      <c r="H58" s="56"/>
      <c r="I58" s="57"/>
      <c r="J58" s="59"/>
    </row>
    <row r="59" spans="1:10">
      <c r="A59" s="46"/>
      <c r="B59" s="55"/>
      <c r="C59" s="56"/>
      <c r="D59" s="49"/>
      <c r="E59" s="57"/>
      <c r="F59" s="58"/>
      <c r="G59" s="57"/>
      <c r="H59" s="56"/>
      <c r="I59" s="57"/>
      <c r="J59" s="59"/>
    </row>
    <row r="60" spans="1:10">
      <c r="A60" s="46"/>
      <c r="B60" s="55"/>
      <c r="C60" s="56"/>
      <c r="D60" s="49"/>
      <c r="E60" s="57"/>
      <c r="F60" s="58"/>
      <c r="G60" s="57"/>
      <c r="H60" s="56"/>
      <c r="I60" s="57"/>
      <c r="J60" s="59"/>
    </row>
    <row r="61" spans="1:10">
      <c r="A61" s="46"/>
      <c r="B61" s="55"/>
      <c r="C61" s="56"/>
      <c r="D61" s="49"/>
      <c r="E61" s="57"/>
      <c r="F61" s="58"/>
      <c r="G61" s="57"/>
      <c r="H61" s="56"/>
      <c r="I61" s="57"/>
      <c r="J61" s="59"/>
    </row>
    <row r="62" spans="1:10">
      <c r="A62" s="46"/>
      <c r="B62" s="55"/>
      <c r="C62" s="56"/>
      <c r="D62" s="49"/>
      <c r="E62" s="57"/>
      <c r="F62" s="58"/>
      <c r="G62" s="57"/>
      <c r="H62" s="56"/>
      <c r="I62" s="57"/>
      <c r="J62" s="59"/>
    </row>
    <row r="63" spans="1:10">
      <c r="A63" s="46"/>
      <c r="B63" s="55"/>
      <c r="C63" s="56"/>
      <c r="D63" s="49"/>
      <c r="E63" s="57"/>
      <c r="F63" s="58"/>
      <c r="G63" s="57"/>
      <c r="H63" s="56"/>
      <c r="I63" s="57"/>
      <c r="J63" s="59"/>
    </row>
    <row r="64" spans="1:10">
      <c r="A64" s="46"/>
      <c r="B64" s="55"/>
      <c r="C64" s="56"/>
      <c r="D64" s="49"/>
      <c r="E64" s="57"/>
      <c r="F64" s="58"/>
      <c r="G64" s="57"/>
      <c r="H64" s="56"/>
      <c r="I64" s="57"/>
      <c r="J64" s="59"/>
    </row>
    <row r="65" spans="1:10">
      <c r="A65" s="46"/>
      <c r="B65" s="55"/>
      <c r="C65" s="56"/>
      <c r="D65" s="49"/>
      <c r="E65" s="57"/>
      <c r="F65" s="58"/>
      <c r="G65" s="57"/>
      <c r="H65" s="56"/>
      <c r="I65" s="57"/>
      <c r="J65" s="59"/>
    </row>
    <row r="66" spans="1:10">
      <c r="A66" s="46"/>
      <c r="B66" s="55"/>
      <c r="C66" s="56"/>
      <c r="D66" s="49"/>
      <c r="E66" s="57"/>
      <c r="F66" s="58"/>
      <c r="G66" s="57"/>
      <c r="H66" s="56"/>
      <c r="I66" s="57"/>
      <c r="J66" s="59"/>
    </row>
    <row r="67" spans="1:10">
      <c r="A67" s="46"/>
      <c r="B67" s="55"/>
      <c r="C67" s="56"/>
      <c r="D67" s="49"/>
      <c r="E67" s="57"/>
      <c r="F67" s="58"/>
      <c r="G67" s="57"/>
      <c r="H67" s="56"/>
      <c r="I67" s="57"/>
      <c r="J67" s="59"/>
    </row>
    <row r="68" spans="1:10">
      <c r="A68" s="46"/>
      <c r="B68" s="55"/>
      <c r="C68" s="56"/>
      <c r="D68" s="49"/>
      <c r="E68" s="57"/>
      <c r="F68" s="58"/>
      <c r="G68" s="57"/>
      <c r="H68" s="56"/>
      <c r="I68" s="57"/>
      <c r="J68" s="59"/>
    </row>
    <row r="69" spans="1:10">
      <c r="A69" s="46"/>
      <c r="B69" s="55"/>
      <c r="C69" s="56"/>
      <c r="D69" s="49"/>
      <c r="E69" s="57"/>
      <c r="F69" s="58"/>
      <c r="G69" s="57"/>
      <c r="H69" s="56"/>
      <c r="I69" s="57"/>
      <c r="J69" s="59"/>
    </row>
    <row r="70" spans="1:10">
      <c r="A70" s="46"/>
      <c r="B70" s="55"/>
      <c r="C70" s="56"/>
      <c r="D70" s="49"/>
      <c r="E70" s="57"/>
      <c r="F70" s="58"/>
      <c r="G70" s="57"/>
      <c r="H70" s="56"/>
      <c r="I70" s="57"/>
      <c r="J70" s="59"/>
    </row>
    <row r="71" spans="1:10">
      <c r="A71" s="46"/>
      <c r="B71" s="55"/>
      <c r="C71" s="56"/>
      <c r="D71" s="49"/>
      <c r="E71" s="57"/>
      <c r="F71" s="58"/>
      <c r="G71" s="57"/>
      <c r="H71" s="56"/>
      <c r="I71" s="57"/>
      <c r="J71" s="59"/>
    </row>
    <row r="72" spans="1:10">
      <c r="A72" s="46"/>
      <c r="B72" s="55"/>
      <c r="C72" s="56"/>
      <c r="D72" s="49"/>
      <c r="E72" s="57"/>
      <c r="F72" s="58"/>
      <c r="G72" s="57"/>
      <c r="H72" s="56"/>
      <c r="I72" s="57"/>
      <c r="J72" s="59"/>
    </row>
    <row r="73" spans="1:10">
      <c r="A73" s="46"/>
      <c r="B73" s="55"/>
      <c r="C73" s="56"/>
      <c r="D73" s="49"/>
      <c r="E73" s="57"/>
      <c r="F73" s="58"/>
      <c r="G73" s="57"/>
      <c r="H73" s="56"/>
      <c r="I73" s="57"/>
      <c r="J73" s="59"/>
    </row>
    <row r="74" spans="1:10">
      <c r="A74" s="46"/>
      <c r="B74" s="55"/>
      <c r="C74" s="56"/>
      <c r="D74" s="49"/>
      <c r="E74" s="57"/>
      <c r="F74" s="58"/>
      <c r="G74" s="57"/>
      <c r="H74" s="56"/>
      <c r="I74" s="59"/>
      <c r="J74" s="59"/>
    </row>
    <row r="75" spans="1:10">
      <c r="A75" s="45"/>
    </row>
  </sheetData>
  <sheetProtection password="CC6D" sheet="1" objects="1" scenarios="1" selectLockedCells="1"/>
  <mergeCells count="2">
    <mergeCell ref="A1:J1"/>
    <mergeCell ref="A3:D3"/>
  </mergeCells>
  <conditionalFormatting sqref="B6:C74">
    <cfRule type="cellIs" dxfId="26" priority="5" operator="greaterThan">
      <formula>0</formula>
    </cfRule>
  </conditionalFormatting>
  <conditionalFormatting sqref="E6:J74">
    <cfRule type="cellIs" dxfId="25" priority="4" operator="greaterThan">
      <formula>0</formula>
    </cfRule>
  </conditionalFormatting>
  <conditionalFormatting sqref="D6:D74">
    <cfRule type="cellIs" dxfId="24" priority="3" operator="between">
      <formula>1</formula>
      <formula>99</formula>
    </cfRule>
  </conditionalFormatting>
  <conditionalFormatting sqref="A6:A25">
    <cfRule type="cellIs" dxfId="23" priority="1" operator="between">
      <formula>0</formula>
      <formula>$E$3</formula>
    </cfRule>
  </conditionalFormatting>
  <dataValidations count="5">
    <dataValidation type="date" allowBlank="1" showErrorMessage="1" error="Введите дату начала работы в данном учреждении в формате &quot;день.месяц.год&quot;." sqref="H6:H74">
      <formula1>1</formula1>
      <formula2>43616</formula2>
    </dataValidation>
    <dataValidation type="decimal" allowBlank="1" showErrorMessage="1" error="Введите стаж педагогической работы преподавателя в формате &quot;Кол-во лет&quot;." sqref="G6:G74">
      <formula1>0</formula1>
      <formula2>80</formula2>
    </dataValidation>
    <dataValidation type="list" allowBlank="1" showInputMessage="1" showErrorMessage="1" sqref="I6:I74">
      <formula1>"Высшая, Первая, Без категории"</formula1>
    </dataValidation>
    <dataValidation type="whole" allowBlank="1" showErrorMessage="1" error="Введите либо 0, либо целое положительное число." sqref="E3">
      <formula1>0</formula1>
      <formula2>20</formula2>
    </dataValidation>
    <dataValidation type="date" allowBlank="1" showErrorMessage="1" error="Введите дату рождения в формате &quot;день.месяц.год&quot;." sqref="C6:C25">
      <formula1>1</formula1>
      <formula2>37621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view="pageLayout" workbookViewId="0">
      <selection activeCell="C6" sqref="C6"/>
    </sheetView>
  </sheetViews>
  <sheetFormatPr defaultRowHeight="15"/>
  <cols>
    <col min="1" max="1" width="4" customWidth="1"/>
    <col min="2" max="2" width="22.85546875" customWidth="1"/>
    <col min="3" max="3" width="9.42578125" customWidth="1"/>
    <col min="4" max="4" width="7.42578125" customWidth="1"/>
    <col min="5" max="5" width="14.5703125" customWidth="1"/>
    <col min="6" max="6" width="14.28515625" customWidth="1"/>
    <col min="7" max="7" width="11.42578125" customWidth="1"/>
    <col min="8" max="8" width="36" customWidth="1"/>
    <col min="9" max="9" width="11" customWidth="1"/>
  </cols>
  <sheetData>
    <row r="1" spans="1:9" ht="15.75">
      <c r="A1" s="127" t="s">
        <v>348</v>
      </c>
      <c r="B1" s="127"/>
      <c r="C1" s="127"/>
      <c r="D1" s="127"/>
      <c r="E1" s="127"/>
      <c r="F1" s="127"/>
      <c r="G1" s="127"/>
      <c r="H1" s="127"/>
      <c r="I1" s="127"/>
    </row>
    <row r="2" spans="1:9">
      <c r="A2" s="24"/>
      <c r="B2" s="24"/>
      <c r="C2" s="24"/>
      <c r="D2" s="24"/>
      <c r="E2" s="24"/>
      <c r="F2" s="24"/>
      <c r="G2" s="24"/>
      <c r="H2" s="24"/>
      <c r="I2" s="24"/>
    </row>
    <row r="3" spans="1:9">
      <c r="A3" s="130" t="s">
        <v>195</v>
      </c>
      <c r="B3" s="130"/>
      <c r="C3" s="130"/>
      <c r="D3" s="130"/>
      <c r="E3" s="130"/>
      <c r="F3" s="23">
        <v>1</v>
      </c>
      <c r="G3" s="61"/>
      <c r="H3" s="61"/>
      <c r="I3" s="25"/>
    </row>
    <row r="4" spans="1:9">
      <c r="A4" s="24"/>
      <c r="B4" s="24"/>
      <c r="C4" s="24"/>
      <c r="D4" s="24"/>
      <c r="E4" s="24"/>
      <c r="F4" s="24"/>
      <c r="G4" s="24"/>
      <c r="H4" s="24"/>
      <c r="I4" s="24"/>
    </row>
    <row r="5" spans="1:9" ht="55.5" customHeight="1">
      <c r="A5" s="114" t="s">
        <v>180</v>
      </c>
      <c r="B5" s="114" t="s">
        <v>181</v>
      </c>
      <c r="C5" s="114" t="s">
        <v>182</v>
      </c>
      <c r="D5" s="114" t="s">
        <v>186</v>
      </c>
      <c r="E5" s="114" t="s">
        <v>192</v>
      </c>
      <c r="F5" s="114" t="s">
        <v>188</v>
      </c>
      <c r="G5" s="114" t="s">
        <v>194</v>
      </c>
      <c r="H5" s="114" t="s">
        <v>187</v>
      </c>
      <c r="I5" s="114" t="s">
        <v>183</v>
      </c>
    </row>
    <row r="6" spans="1:9" ht="76.5">
      <c r="A6" s="26">
        <f>IF(1&lt;=F3,1,"")</f>
        <v>1</v>
      </c>
      <c r="B6" s="122" t="s">
        <v>454</v>
      </c>
      <c r="C6" s="32">
        <v>35271</v>
      </c>
      <c r="D6" s="31">
        <f ca="1">IF(C6&gt;0,DATEDIF(C6,TODAY(),"y"),"")</f>
        <v>22</v>
      </c>
      <c r="E6" s="60" t="s">
        <v>270</v>
      </c>
      <c r="F6" s="36" t="s">
        <v>255</v>
      </c>
      <c r="G6" s="36" t="s">
        <v>464</v>
      </c>
      <c r="H6" s="122" t="s">
        <v>456</v>
      </c>
      <c r="I6" s="32">
        <v>43344</v>
      </c>
    </row>
    <row r="7" spans="1:9">
      <c r="A7" s="26" t="str">
        <f>IF(A6&lt;F3,2,"")</f>
        <v/>
      </c>
      <c r="B7" s="43"/>
      <c r="C7" s="32"/>
      <c r="D7" s="31" t="str">
        <f t="shared" ref="D7:D15" ca="1" si="0">IF(C7&gt;0,DATEDIF(C7,TODAY(),"y"),"")</f>
        <v/>
      </c>
      <c r="E7" s="60"/>
      <c r="F7" s="36"/>
      <c r="G7" s="36"/>
      <c r="H7" s="43"/>
      <c r="I7" s="32"/>
    </row>
    <row r="8" spans="1:9">
      <c r="A8" s="26" t="str">
        <f>IF(A7&lt;F3,3,"")</f>
        <v/>
      </c>
      <c r="B8" s="43"/>
      <c r="C8" s="32"/>
      <c r="D8" s="31" t="str">
        <f t="shared" ca="1" si="0"/>
        <v/>
      </c>
      <c r="E8" s="60"/>
      <c r="F8" s="36"/>
      <c r="G8" s="36"/>
      <c r="H8" s="43"/>
      <c r="I8" s="32"/>
    </row>
    <row r="9" spans="1:9">
      <c r="A9" s="27" t="str">
        <f>IF(A8&lt;F3,4,"")</f>
        <v/>
      </c>
      <c r="B9" s="44"/>
      <c r="C9" s="32"/>
      <c r="D9" s="31" t="str">
        <f t="shared" ca="1" si="0"/>
        <v/>
      </c>
      <c r="E9" s="60"/>
      <c r="F9" s="36"/>
      <c r="G9" s="36"/>
      <c r="H9" s="43"/>
      <c r="I9" s="32"/>
    </row>
    <row r="10" spans="1:9">
      <c r="A10" s="27" t="str">
        <f>IF(A9&lt;F3,5,"")</f>
        <v/>
      </c>
      <c r="B10" s="44"/>
      <c r="C10" s="32"/>
      <c r="D10" s="31" t="str">
        <f t="shared" ca="1" si="0"/>
        <v/>
      </c>
      <c r="E10" s="60"/>
      <c r="F10" s="36"/>
      <c r="G10" s="36"/>
      <c r="H10" s="43"/>
      <c r="I10" s="32"/>
    </row>
    <row r="11" spans="1:9">
      <c r="A11" s="27" t="str">
        <f>IF(A10&lt;F3,6,"")</f>
        <v/>
      </c>
      <c r="B11" s="44"/>
      <c r="C11" s="32"/>
      <c r="D11" s="31" t="str">
        <f t="shared" ca="1" si="0"/>
        <v/>
      </c>
      <c r="E11" s="60"/>
      <c r="F11" s="36"/>
      <c r="G11" s="36"/>
      <c r="H11" s="43"/>
      <c r="I11" s="32"/>
    </row>
    <row r="12" spans="1:9">
      <c r="A12" s="27" t="str">
        <f>IF(A11&lt;F3,7,"")</f>
        <v/>
      </c>
      <c r="B12" s="44"/>
      <c r="C12" s="32"/>
      <c r="D12" s="31" t="str">
        <f t="shared" ca="1" si="0"/>
        <v/>
      </c>
      <c r="E12" s="60"/>
      <c r="F12" s="36"/>
      <c r="G12" s="36"/>
      <c r="H12" s="43"/>
      <c r="I12" s="32"/>
    </row>
    <row r="13" spans="1:9">
      <c r="A13" s="27" t="str">
        <f>IF(A12&lt;F3,8,"")</f>
        <v/>
      </c>
      <c r="B13" s="44"/>
      <c r="C13" s="32"/>
      <c r="D13" s="31" t="str">
        <f t="shared" ca="1" si="0"/>
        <v/>
      </c>
      <c r="E13" s="60"/>
      <c r="F13" s="36"/>
      <c r="G13" s="36"/>
      <c r="H13" s="43"/>
      <c r="I13" s="32"/>
    </row>
    <row r="14" spans="1:9">
      <c r="A14" s="27" t="str">
        <f>IF(A13&lt;F3,9,"")</f>
        <v/>
      </c>
      <c r="B14" s="44"/>
      <c r="C14" s="33"/>
      <c r="D14" s="31" t="str">
        <f t="shared" ca="1" si="0"/>
        <v/>
      </c>
      <c r="E14" s="60"/>
      <c r="F14" s="36"/>
      <c r="G14" s="36"/>
      <c r="H14" s="43"/>
      <c r="I14" s="32"/>
    </row>
    <row r="15" spans="1:9">
      <c r="A15" s="27" t="str">
        <f>IF(A14&lt;F3,10,"")</f>
        <v/>
      </c>
      <c r="B15" s="44"/>
      <c r="C15" s="33"/>
      <c r="D15" s="31" t="str">
        <f t="shared" ca="1" si="0"/>
        <v/>
      </c>
      <c r="E15" s="60"/>
      <c r="F15" s="36"/>
      <c r="G15" s="36"/>
      <c r="H15" s="43"/>
      <c r="I15" s="32"/>
    </row>
    <row r="16" spans="1:9">
      <c r="A16" s="46"/>
      <c r="B16" s="59"/>
      <c r="C16" s="59"/>
      <c r="D16" s="59"/>
      <c r="E16" s="59"/>
      <c r="F16" s="59"/>
      <c r="G16" s="59"/>
      <c r="H16" s="59"/>
      <c r="I16" s="59"/>
    </row>
    <row r="17" spans="1:9">
      <c r="A17" s="46"/>
      <c r="B17" s="59"/>
      <c r="C17" s="59"/>
      <c r="D17" s="59"/>
      <c r="E17" s="59"/>
      <c r="F17" s="59"/>
      <c r="G17" s="59"/>
      <c r="H17" s="59"/>
      <c r="I17" s="59"/>
    </row>
    <row r="18" spans="1:9">
      <c r="A18" s="46"/>
      <c r="B18" s="59"/>
      <c r="C18" s="59"/>
      <c r="D18" s="59"/>
      <c r="E18" s="59"/>
      <c r="F18" s="59"/>
      <c r="G18" s="59"/>
      <c r="H18" s="59"/>
      <c r="I18" s="59"/>
    </row>
    <row r="19" spans="1:9">
      <c r="A19" s="46"/>
      <c r="B19" s="59"/>
      <c r="C19" s="59"/>
      <c r="D19" s="59"/>
      <c r="E19" s="59"/>
      <c r="F19" s="59"/>
      <c r="G19" s="59"/>
      <c r="H19" s="59"/>
      <c r="I19" s="59"/>
    </row>
    <row r="20" spans="1:9">
      <c r="A20" s="46"/>
      <c r="B20" s="59"/>
      <c r="C20" s="59"/>
      <c r="D20" s="59"/>
      <c r="E20" s="59"/>
      <c r="F20" s="59"/>
      <c r="G20" s="59"/>
      <c r="H20" s="59"/>
      <c r="I20" s="59"/>
    </row>
    <row r="21" spans="1:9">
      <c r="A21" s="46"/>
      <c r="B21" s="59"/>
      <c r="C21" s="59"/>
      <c r="D21" s="59"/>
      <c r="E21" s="59"/>
      <c r="F21" s="59"/>
      <c r="G21" s="59"/>
      <c r="H21" s="59"/>
      <c r="I21" s="59"/>
    </row>
    <row r="22" spans="1:9">
      <c r="A22" s="46"/>
      <c r="B22" s="59"/>
      <c r="C22" s="59"/>
      <c r="D22" s="59"/>
      <c r="E22" s="59"/>
      <c r="F22" s="59"/>
      <c r="G22" s="59"/>
      <c r="H22" s="59"/>
      <c r="I22" s="59"/>
    </row>
    <row r="23" spans="1:9">
      <c r="A23" s="46"/>
      <c r="B23" s="59"/>
      <c r="C23" s="59"/>
      <c r="D23" s="59"/>
      <c r="E23" s="59"/>
      <c r="F23" s="59"/>
      <c r="G23" s="59"/>
      <c r="H23" s="59"/>
      <c r="I23" s="59"/>
    </row>
    <row r="24" spans="1:9">
      <c r="A24" s="46"/>
      <c r="B24" s="59"/>
      <c r="C24" s="59"/>
      <c r="D24" s="59"/>
      <c r="E24" s="59"/>
      <c r="F24" s="59"/>
      <c r="G24" s="59"/>
      <c r="H24" s="59"/>
      <c r="I24" s="59"/>
    </row>
    <row r="25" spans="1:9">
      <c r="A25" s="46"/>
      <c r="B25" s="59"/>
      <c r="C25" s="59"/>
      <c r="D25" s="59"/>
      <c r="E25" s="59"/>
      <c r="F25" s="59"/>
      <c r="G25" s="59"/>
      <c r="H25" s="59"/>
      <c r="I25" s="59"/>
    </row>
    <row r="26" spans="1:9">
      <c r="A26" s="54"/>
      <c r="B26" s="62"/>
      <c r="C26" s="62"/>
      <c r="D26" s="62"/>
      <c r="E26" s="62"/>
      <c r="F26" s="62"/>
      <c r="G26" s="62"/>
      <c r="H26" s="62"/>
      <c r="I26" s="62"/>
    </row>
  </sheetData>
  <sheetProtection password="CC6D" sheet="1" objects="1" scenarios="1" selectLockedCells="1"/>
  <mergeCells count="2">
    <mergeCell ref="A1:I1"/>
    <mergeCell ref="A3:E3"/>
  </mergeCells>
  <conditionalFormatting sqref="B6:C15 F6:I15">
    <cfRule type="cellIs" dxfId="22" priority="8" operator="greaterThan">
      <formula>0</formula>
    </cfRule>
  </conditionalFormatting>
  <conditionalFormatting sqref="D6:E15">
    <cfRule type="cellIs" dxfId="21" priority="6" operator="between">
      <formula>1</formula>
      <formula>99</formula>
    </cfRule>
  </conditionalFormatting>
  <conditionalFormatting sqref="E6:E15">
    <cfRule type="cellIs" dxfId="20" priority="2" operator="greaterThan">
      <formula>0</formula>
    </cfRule>
  </conditionalFormatting>
  <conditionalFormatting sqref="A6:A15">
    <cfRule type="cellIs" dxfId="19" priority="1" operator="between">
      <formula>0</formula>
      <formula>$F$3</formula>
    </cfRule>
  </conditionalFormatting>
  <dataValidations count="6">
    <dataValidation type="date" allowBlank="1" showErrorMessage="1" error="Введите дату рождения в формате &quot;день.месяц.год&quot;." sqref="C6:C15">
      <formula1>1</formula1>
      <formula2>37621</formula2>
    </dataValidation>
    <dataValidation type="whole" allowBlank="1" showErrorMessage="1" error="Введите либо 0, либо целое положительное число." sqref="G3:H3">
      <formula1>0</formula1>
      <formula2>20</formula2>
    </dataValidation>
    <dataValidation type="date" allowBlank="1" showErrorMessage="1" error="Введите дату начала работы в данном учреждении в формате &quot;день.месяц.год&quot;." sqref="I6:I15">
      <formula1>1</formula1>
      <formula2>43616</formula2>
    </dataValidation>
    <dataValidation type="list" allowBlank="1" showInputMessage="1" showErrorMessage="1" sqref="E6:E25">
      <formula1>"Преподаватель, Концермейстер"</formula1>
    </dataValidation>
    <dataValidation type="list" allowBlank="1" showInputMessage="1" showErrorMessage="1" sqref="G6:G25">
      <formula1>"Высшее, Среднее специальное"</formula1>
    </dataValidation>
    <dataValidation type="whole" allowBlank="1" showErrorMessage="1" error="Введите либо 0, либо целое положительное число." sqref="F3">
      <formula1>0</formula1>
      <formula2>10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view="pageLayout" workbookViewId="0">
      <selection activeCell="D14" sqref="D14"/>
    </sheetView>
  </sheetViews>
  <sheetFormatPr defaultRowHeight="15"/>
  <cols>
    <col min="1" max="1" width="4.28515625" style="1" customWidth="1"/>
    <col min="2" max="2" width="29.7109375" style="1" customWidth="1"/>
    <col min="3" max="3" width="14.5703125" style="1" customWidth="1"/>
    <col min="4" max="4" width="26.42578125" style="1" customWidth="1"/>
    <col min="5" max="5" width="31.7109375" style="1" customWidth="1"/>
    <col min="6" max="6" width="24.42578125" style="1" customWidth="1"/>
    <col min="7" max="16384" width="9.140625" style="1"/>
  </cols>
  <sheetData>
    <row r="1" spans="1:6" ht="15" customHeight="1">
      <c r="A1" s="127" t="s">
        <v>349</v>
      </c>
      <c r="B1" s="127"/>
      <c r="C1" s="127"/>
      <c r="D1" s="127"/>
      <c r="E1" s="127"/>
      <c r="F1" s="127"/>
    </row>
    <row r="3" spans="1:6" ht="30" customHeight="1">
      <c r="A3" s="140" t="s">
        <v>180</v>
      </c>
      <c r="B3" s="140" t="s">
        <v>196</v>
      </c>
      <c r="C3" s="140" t="s">
        <v>197</v>
      </c>
      <c r="D3" s="140"/>
      <c r="E3" s="140" t="s">
        <v>198</v>
      </c>
      <c r="F3" s="140" t="s">
        <v>199</v>
      </c>
    </row>
    <row r="4" spans="1:6" ht="45">
      <c r="A4" s="140"/>
      <c r="B4" s="140"/>
      <c r="C4" s="113" t="s">
        <v>200</v>
      </c>
      <c r="D4" s="113" t="s">
        <v>201</v>
      </c>
      <c r="E4" s="140"/>
      <c r="F4" s="140"/>
    </row>
    <row r="5" spans="1:6" ht="150">
      <c r="A5" s="117">
        <f>IF(OR(B5&lt;&gt;0, C5&lt;&gt;0, D5&lt;&gt;0, E5&lt;&gt;0, F5), 1, "")</f>
        <v>1</v>
      </c>
      <c r="B5" s="65" t="s">
        <v>389</v>
      </c>
      <c r="C5" s="64">
        <v>39</v>
      </c>
      <c r="D5" s="65" t="s">
        <v>399</v>
      </c>
      <c r="E5" s="65" t="s">
        <v>381</v>
      </c>
      <c r="F5" s="65"/>
    </row>
    <row r="6" spans="1:6" ht="180">
      <c r="A6" s="117">
        <f>IF(OR(B6&lt;&gt;0, C6&lt;&gt;0, D6&lt;&gt;0, E6&lt;&gt;0, F6), 2, "")</f>
        <v>2</v>
      </c>
      <c r="B6" s="65" t="s">
        <v>390</v>
      </c>
      <c r="C6" s="64"/>
      <c r="D6" s="65" t="s">
        <v>393</v>
      </c>
      <c r="E6" s="65"/>
      <c r="F6" s="65"/>
    </row>
    <row r="7" spans="1:6" ht="150">
      <c r="A7" s="117">
        <f>IF(OR(B7&lt;&gt;0, C7&lt;&gt;0, D7&lt;&gt;0, E7&lt;&gt;0, F7), 3, "")</f>
        <v>3</v>
      </c>
      <c r="B7" s="65" t="s">
        <v>391</v>
      </c>
      <c r="C7" s="64"/>
      <c r="D7" s="65" t="s">
        <v>394</v>
      </c>
      <c r="E7" s="65"/>
      <c r="F7" s="65"/>
    </row>
    <row r="8" spans="1:6" ht="120">
      <c r="A8" s="117">
        <f>IF(OR(B8&lt;&gt;0, C8&lt;&gt;0, D8&lt;&gt;0, E8&lt;&gt;0, F8), 4, "")</f>
        <v>4</v>
      </c>
      <c r="B8" s="65" t="s">
        <v>392</v>
      </c>
      <c r="C8" s="64"/>
      <c r="D8" s="65" t="s">
        <v>395</v>
      </c>
      <c r="E8" s="65"/>
      <c r="F8" s="65"/>
    </row>
    <row r="9" spans="1:6" ht="210">
      <c r="A9" s="117">
        <f>IF(OR(B9&lt;&gt;0, C9&lt;&gt;0, D9&lt;&gt;0, E9&lt;&gt;0, F9), 5, "")</f>
        <v>5</v>
      </c>
      <c r="B9" s="65"/>
      <c r="C9" s="64"/>
      <c r="D9" s="65" t="s">
        <v>396</v>
      </c>
      <c r="E9" s="65"/>
      <c r="F9" s="65"/>
    </row>
    <row r="10" spans="1:6" ht="150">
      <c r="A10" s="117">
        <f>IF(OR(B10&lt;&gt;0, C10&lt;&gt;0, D10&lt;&gt;0, E10&lt;&gt;0, F10), 6, "")</f>
        <v>6</v>
      </c>
      <c r="B10" s="65"/>
      <c r="C10" s="64"/>
      <c r="D10" s="65" t="s">
        <v>397</v>
      </c>
      <c r="E10" s="65"/>
      <c r="F10" s="65"/>
    </row>
    <row r="11" spans="1:6" ht="150">
      <c r="A11" s="117">
        <f>IF(OR(B11&lt;&gt;0, C11&lt;&gt;0, D11&lt;&gt;0, E11&lt;&gt;0, F11), 7, "")</f>
        <v>7</v>
      </c>
      <c r="B11" s="65"/>
      <c r="C11" s="64"/>
      <c r="D11" s="65" t="s">
        <v>398</v>
      </c>
      <c r="E11" s="65"/>
      <c r="F11" s="65"/>
    </row>
    <row r="12" spans="1:6" ht="195">
      <c r="A12" s="117">
        <f>IF(OR(B12&lt;&gt;0, C12&lt;&gt;0, D12&lt;&gt;0, E12&lt;&gt;0, F12), 8, "")</f>
        <v>8</v>
      </c>
      <c r="B12" s="65"/>
      <c r="C12" s="64"/>
      <c r="D12" s="65" t="s">
        <v>400</v>
      </c>
      <c r="E12" s="65"/>
      <c r="F12" s="65"/>
    </row>
    <row r="13" spans="1:6" ht="390">
      <c r="A13" s="117">
        <f>IF(OR(B13&lt;&gt;0, C13&lt;&gt;0, D13&lt;&gt;0, E13&lt;&gt;0, F13), 9, "")</f>
        <v>9</v>
      </c>
      <c r="B13" s="65"/>
      <c r="C13" s="64"/>
      <c r="D13" s="65" t="s">
        <v>487</v>
      </c>
      <c r="E13" s="65"/>
      <c r="F13" s="65"/>
    </row>
    <row r="14" spans="1:6" ht="135">
      <c r="A14" s="117">
        <f>IF(OR(B14&lt;&gt;0, C14&lt;&gt;0, D14&lt;&gt;0, E14&lt;&gt;0, F14), 10, "")</f>
        <v>10</v>
      </c>
      <c r="B14" s="65"/>
      <c r="C14" s="64"/>
      <c r="D14" s="65" t="s">
        <v>488</v>
      </c>
      <c r="E14" s="65"/>
      <c r="F14" s="65"/>
    </row>
    <row r="15" spans="1:6">
      <c r="A15" s="117" t="str">
        <f>IF(OR(B15&lt;&gt;0, C15&lt;&gt;0, D15&lt;&gt;0, E15&lt;&gt;0, F15), 11, "")</f>
        <v/>
      </c>
      <c r="B15" s="65"/>
      <c r="C15" s="64"/>
      <c r="D15" s="65"/>
      <c r="E15" s="65"/>
      <c r="F15" s="65"/>
    </row>
  </sheetData>
  <sheetProtection password="CC6D" sheet="1" objects="1" scenarios="1" selectLockedCells="1"/>
  <mergeCells count="6">
    <mergeCell ref="A1:F1"/>
    <mergeCell ref="A3:A4"/>
    <mergeCell ref="B3:B4"/>
    <mergeCell ref="C3:D3"/>
    <mergeCell ref="E3:E4"/>
    <mergeCell ref="F3:F4"/>
  </mergeCells>
  <conditionalFormatting sqref="B5:F15">
    <cfRule type="cellIs" dxfId="18" priority="5" operator="greaterThan">
      <formula>0</formula>
    </cfRule>
  </conditionalFormatting>
  <conditionalFormatting sqref="A5:A15">
    <cfRule type="cellIs" dxfId="17" priority="1" operator="between">
      <formula>0</formula>
      <formula>11</formula>
    </cfRule>
  </conditionalFormatting>
  <dataValidations count="2">
    <dataValidation type="whole" allowBlank="1" showErrorMessage="1" error="Введите либо 0, либо целое положительное число." sqref="C5:C14">
      <formula1>0</formula1>
      <formula2>100</formula2>
    </dataValidation>
    <dataValidation allowBlank="1" showErrorMessage="1" error="Введите либо 0, либо целое положительное число." sqref="A5:A15"/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1"/>
  <sheetViews>
    <sheetView view="pageLayout" topLeftCell="A7" workbookViewId="0">
      <selection activeCell="I12" sqref="I12:J12"/>
    </sheetView>
  </sheetViews>
  <sheetFormatPr defaultRowHeight="15"/>
  <cols>
    <col min="1" max="10" width="13" style="1" customWidth="1"/>
    <col min="11" max="16384" width="9.140625" style="1"/>
  </cols>
  <sheetData>
    <row r="1" spans="1:10" ht="15.75">
      <c r="A1" s="127" t="s">
        <v>350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0">
      <c r="A3" s="190" t="s">
        <v>202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>
      <c r="A4" s="134" t="s">
        <v>203</v>
      </c>
      <c r="B4" s="134"/>
      <c r="C4" s="134" t="s">
        <v>205</v>
      </c>
      <c r="D4" s="134"/>
      <c r="E4" s="134" t="s">
        <v>206</v>
      </c>
      <c r="F4" s="134"/>
      <c r="G4" s="134" t="s">
        <v>207</v>
      </c>
      <c r="H4" s="134"/>
      <c r="I4" s="134" t="s">
        <v>208</v>
      </c>
      <c r="J4" s="134"/>
    </row>
    <row r="5" spans="1:10">
      <c r="A5" s="112" t="s">
        <v>204</v>
      </c>
      <c r="B5" s="112" t="s">
        <v>154</v>
      </c>
      <c r="C5" s="112" t="s">
        <v>204</v>
      </c>
      <c r="D5" s="112" t="s">
        <v>154</v>
      </c>
      <c r="E5" s="112" t="s">
        <v>204</v>
      </c>
      <c r="F5" s="112" t="s">
        <v>154</v>
      </c>
      <c r="G5" s="112" t="s">
        <v>204</v>
      </c>
      <c r="H5" s="112" t="s">
        <v>154</v>
      </c>
      <c r="I5" s="112" t="s">
        <v>204</v>
      </c>
      <c r="J5" s="112" t="s">
        <v>154</v>
      </c>
    </row>
    <row r="6" spans="1:10">
      <c r="A6" s="42">
        <v>4</v>
      </c>
      <c r="B6" s="42">
        <v>38</v>
      </c>
      <c r="C6" s="42">
        <v>2</v>
      </c>
      <c r="D6" s="42">
        <v>12</v>
      </c>
      <c r="E6" s="42">
        <v>0</v>
      </c>
      <c r="F6" s="42">
        <v>0</v>
      </c>
      <c r="G6" s="42">
        <v>0</v>
      </c>
      <c r="H6" s="42">
        <v>0</v>
      </c>
      <c r="I6" s="41">
        <f>A6+C6+E6+G6</f>
        <v>6</v>
      </c>
      <c r="J6" s="41">
        <f>B6+D6+F6+H6</f>
        <v>50</v>
      </c>
    </row>
    <row r="8" spans="1:10" ht="15.75">
      <c r="A8" s="127" t="s">
        <v>351</v>
      </c>
      <c r="B8" s="127"/>
      <c r="C8" s="127"/>
      <c r="D8" s="127"/>
      <c r="E8" s="127"/>
      <c r="F8" s="127"/>
      <c r="G8" s="127"/>
      <c r="H8" s="127"/>
      <c r="I8" s="127"/>
      <c r="J8" s="127"/>
    </row>
    <row r="10" spans="1:10" ht="30" customHeight="1">
      <c r="A10" s="140" t="s">
        <v>209</v>
      </c>
      <c r="B10" s="140"/>
      <c r="C10" s="140" t="s">
        <v>212</v>
      </c>
      <c r="D10" s="140"/>
      <c r="E10" s="140"/>
      <c r="F10" s="140"/>
      <c r="G10" s="134" t="s">
        <v>211</v>
      </c>
      <c r="H10" s="134"/>
      <c r="I10" s="134"/>
      <c r="J10" s="134"/>
    </row>
    <row r="11" spans="1:10" ht="45" customHeight="1">
      <c r="A11" s="140"/>
      <c r="B11" s="140"/>
      <c r="C11" s="140" t="s">
        <v>213</v>
      </c>
      <c r="D11" s="140"/>
      <c r="E11" s="140" t="s">
        <v>210</v>
      </c>
      <c r="F11" s="140"/>
      <c r="G11" s="140" t="s">
        <v>213</v>
      </c>
      <c r="H11" s="140"/>
      <c r="I11" s="140" t="s">
        <v>210</v>
      </c>
      <c r="J11" s="140"/>
    </row>
    <row r="12" spans="1:10" ht="27.75" customHeight="1">
      <c r="A12" s="192" t="s">
        <v>374</v>
      </c>
      <c r="B12" s="192"/>
      <c r="C12" s="191">
        <v>4</v>
      </c>
      <c r="D12" s="191"/>
      <c r="E12" s="191">
        <v>10</v>
      </c>
      <c r="F12" s="191"/>
      <c r="G12" s="191">
        <v>3</v>
      </c>
      <c r="H12" s="191"/>
      <c r="I12" s="191">
        <v>15</v>
      </c>
      <c r="J12" s="191"/>
    </row>
    <row r="13" spans="1:10" ht="27.75" customHeight="1">
      <c r="A13" s="192" t="s">
        <v>401</v>
      </c>
      <c r="B13" s="192"/>
      <c r="C13" s="191"/>
      <c r="D13" s="191"/>
      <c r="E13" s="191"/>
      <c r="F13" s="191"/>
      <c r="G13" s="191">
        <v>1</v>
      </c>
      <c r="H13" s="191"/>
      <c r="I13" s="191">
        <v>1</v>
      </c>
      <c r="J13" s="191"/>
    </row>
    <row r="14" spans="1:10" ht="27.75" customHeight="1">
      <c r="A14" s="192" t="s">
        <v>402</v>
      </c>
      <c r="B14" s="192"/>
      <c r="C14" s="191"/>
      <c r="D14" s="191"/>
      <c r="E14" s="191"/>
      <c r="F14" s="191"/>
      <c r="G14" s="191">
        <v>1</v>
      </c>
      <c r="H14" s="191"/>
      <c r="I14" s="191">
        <v>4</v>
      </c>
      <c r="J14" s="191"/>
    </row>
    <row r="15" spans="1:10" ht="27.75" customHeight="1">
      <c r="A15" s="192"/>
      <c r="B15" s="192"/>
      <c r="C15" s="191"/>
      <c r="D15" s="191"/>
      <c r="E15" s="191"/>
      <c r="F15" s="191"/>
      <c r="G15" s="191"/>
      <c r="H15" s="191"/>
      <c r="I15" s="191"/>
      <c r="J15" s="191"/>
    </row>
    <row r="16" spans="1:10" ht="27.75" customHeight="1">
      <c r="A16" s="192"/>
      <c r="B16" s="192"/>
      <c r="C16" s="191"/>
      <c r="D16" s="191"/>
      <c r="E16" s="191"/>
      <c r="F16" s="191"/>
      <c r="G16" s="191"/>
      <c r="H16" s="191"/>
      <c r="I16" s="191"/>
      <c r="J16" s="191"/>
    </row>
    <row r="17" spans="1:10" ht="27.75" customHeight="1">
      <c r="A17" s="192"/>
      <c r="B17" s="192"/>
      <c r="C17" s="191"/>
      <c r="D17" s="191"/>
      <c r="E17" s="191"/>
      <c r="F17" s="191"/>
      <c r="G17" s="191"/>
      <c r="H17" s="191"/>
      <c r="I17" s="191"/>
      <c r="J17" s="191"/>
    </row>
    <row r="18" spans="1:10" ht="27.75" customHeight="1">
      <c r="A18" s="192"/>
      <c r="B18" s="192"/>
      <c r="C18" s="191"/>
      <c r="D18" s="191"/>
      <c r="E18" s="191"/>
      <c r="F18" s="191"/>
      <c r="G18" s="191"/>
      <c r="H18" s="191"/>
      <c r="I18" s="191"/>
      <c r="J18" s="191"/>
    </row>
    <row r="19" spans="1:10" ht="27.75" customHeight="1">
      <c r="A19" s="192"/>
      <c r="B19" s="192"/>
      <c r="C19" s="191"/>
      <c r="D19" s="191"/>
      <c r="E19" s="191"/>
      <c r="F19" s="191"/>
      <c r="G19" s="191"/>
      <c r="H19" s="191"/>
      <c r="I19" s="191"/>
      <c r="J19" s="191"/>
    </row>
    <row r="20" spans="1:10" ht="27.75" customHeight="1">
      <c r="A20" s="192"/>
      <c r="B20" s="192"/>
      <c r="C20" s="191"/>
      <c r="D20" s="191"/>
      <c r="E20" s="191"/>
      <c r="F20" s="191"/>
      <c r="G20" s="191"/>
      <c r="H20" s="191"/>
      <c r="I20" s="191"/>
      <c r="J20" s="191"/>
    </row>
    <row r="21" spans="1:10" ht="27.75" customHeight="1">
      <c r="A21" s="192"/>
      <c r="B21" s="192"/>
      <c r="C21" s="191"/>
      <c r="D21" s="191"/>
      <c r="E21" s="191"/>
      <c r="F21" s="191"/>
      <c r="G21" s="191"/>
      <c r="H21" s="191"/>
      <c r="I21" s="191"/>
      <c r="J21" s="191"/>
    </row>
  </sheetData>
  <sheetProtection password="CC6D" sheet="1" objects="1" scenarios="1" selectLockedCells="1"/>
  <mergeCells count="65">
    <mergeCell ref="A15:B15"/>
    <mergeCell ref="A14:B14"/>
    <mergeCell ref="A13:B13"/>
    <mergeCell ref="A12:B12"/>
    <mergeCell ref="A21:B21"/>
    <mergeCell ref="A20:B20"/>
    <mergeCell ref="A19:B19"/>
    <mergeCell ref="A18:B18"/>
    <mergeCell ref="A17:B17"/>
    <mergeCell ref="A16:B16"/>
    <mergeCell ref="I19:J19"/>
    <mergeCell ref="G19:H19"/>
    <mergeCell ref="G20:H20"/>
    <mergeCell ref="G21:H21"/>
    <mergeCell ref="I21:J21"/>
    <mergeCell ref="I20:J20"/>
    <mergeCell ref="G15:H15"/>
    <mergeCell ref="G14:H14"/>
    <mergeCell ref="G13:H13"/>
    <mergeCell ref="G12:H12"/>
    <mergeCell ref="I12:J12"/>
    <mergeCell ref="I13:J13"/>
    <mergeCell ref="I14:J14"/>
    <mergeCell ref="I15:J15"/>
    <mergeCell ref="G18:H18"/>
    <mergeCell ref="I18:J18"/>
    <mergeCell ref="I17:J17"/>
    <mergeCell ref="I16:J16"/>
    <mergeCell ref="G17:H17"/>
    <mergeCell ref="G16:H16"/>
    <mergeCell ref="C18:D18"/>
    <mergeCell ref="C19:D19"/>
    <mergeCell ref="C20:D20"/>
    <mergeCell ref="C21:D21"/>
    <mergeCell ref="E21:F21"/>
    <mergeCell ref="E20:F20"/>
    <mergeCell ref="E19:F19"/>
    <mergeCell ref="E18:F18"/>
    <mergeCell ref="E15:F15"/>
    <mergeCell ref="E16:F16"/>
    <mergeCell ref="E17:F17"/>
    <mergeCell ref="C17:D17"/>
    <mergeCell ref="C16:D16"/>
    <mergeCell ref="C15:D15"/>
    <mergeCell ref="C12:D12"/>
    <mergeCell ref="E12:F12"/>
    <mergeCell ref="C13:D13"/>
    <mergeCell ref="E13:F13"/>
    <mergeCell ref="C14:D14"/>
    <mergeCell ref="E14:F14"/>
    <mergeCell ref="A1:J1"/>
    <mergeCell ref="E11:F11"/>
    <mergeCell ref="G11:H11"/>
    <mergeCell ref="I11:J11"/>
    <mergeCell ref="C11:D11"/>
    <mergeCell ref="A10:B11"/>
    <mergeCell ref="G10:J10"/>
    <mergeCell ref="C10:F10"/>
    <mergeCell ref="A8:J8"/>
    <mergeCell ref="A4:B4"/>
    <mergeCell ref="I4:J4"/>
    <mergeCell ref="G4:H4"/>
    <mergeCell ref="E4:F4"/>
    <mergeCell ref="C4:D4"/>
    <mergeCell ref="A3:J3"/>
  </mergeCells>
  <conditionalFormatting sqref="A12:H21">
    <cfRule type="cellIs" dxfId="16" priority="2" operator="greaterThan">
      <formula>0</formula>
    </cfRule>
  </conditionalFormatting>
  <conditionalFormatting sqref="I12:J21">
    <cfRule type="cellIs" dxfId="15" priority="1" operator="greaterThan">
      <formula>0</formula>
    </cfRule>
  </conditionalFormatting>
  <dataValidations count="2">
    <dataValidation type="whole" allowBlank="1" showInputMessage="1" showErrorMessage="1" sqref="C12:D21 G12:H21">
      <formula1>0</formula1>
      <formula2>50</formula2>
    </dataValidation>
    <dataValidation type="whole" allowBlank="1" showInputMessage="1" showErrorMessage="1" sqref="E12:F21 I12:J21">
      <formula1>0</formula1>
      <formula2>100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33"/>
  <sheetViews>
    <sheetView view="pageLayout" topLeftCell="A16" workbookViewId="0">
      <selection activeCell="B29" sqref="B29:H29"/>
    </sheetView>
  </sheetViews>
  <sheetFormatPr defaultRowHeight="15"/>
  <cols>
    <col min="1" max="1" width="8.7109375" style="1" customWidth="1"/>
    <col min="2" max="2" width="7.5703125" style="1" customWidth="1"/>
    <col min="3" max="3" width="8" style="1" customWidth="1"/>
    <col min="4" max="4" width="13.5703125" style="1" customWidth="1"/>
    <col min="5" max="5" width="13.140625" style="1" customWidth="1"/>
    <col min="6" max="6" width="13.42578125" style="1" customWidth="1"/>
    <col min="7" max="7" width="12.5703125" style="1" customWidth="1"/>
    <col min="8" max="8" width="10.42578125" style="1" customWidth="1"/>
    <col min="9" max="16384" width="9.140625" style="1"/>
  </cols>
  <sheetData>
    <row r="1" spans="1:8" ht="15.75">
      <c r="A1" s="127" t="s">
        <v>354</v>
      </c>
      <c r="B1" s="127"/>
      <c r="C1" s="127"/>
      <c r="D1" s="127"/>
      <c r="E1" s="127"/>
      <c r="F1" s="127"/>
      <c r="G1" s="127"/>
      <c r="H1" s="127"/>
    </row>
    <row r="3" spans="1:8" ht="45" customHeight="1">
      <c r="A3" s="140" t="s">
        <v>285</v>
      </c>
      <c r="B3" s="140" t="s">
        <v>291</v>
      </c>
      <c r="C3" s="140"/>
      <c r="D3" s="140"/>
      <c r="E3" s="140" t="s">
        <v>288</v>
      </c>
      <c r="F3" s="140"/>
      <c r="G3" s="140" t="s">
        <v>295</v>
      </c>
      <c r="H3" s="140"/>
    </row>
    <row r="4" spans="1:8" ht="45" customHeight="1">
      <c r="A4" s="140"/>
      <c r="B4" s="82" t="s">
        <v>286</v>
      </c>
      <c r="C4" s="82" t="s">
        <v>287</v>
      </c>
      <c r="D4" s="82" t="s">
        <v>294</v>
      </c>
      <c r="E4" s="82" t="s">
        <v>289</v>
      </c>
      <c r="F4" s="82" t="s">
        <v>290</v>
      </c>
      <c r="G4" s="82" t="s">
        <v>292</v>
      </c>
      <c r="H4" s="82" t="s">
        <v>293</v>
      </c>
    </row>
    <row r="5" spans="1:8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84">
        <v>7</v>
      </c>
      <c r="H5" s="84">
        <v>8</v>
      </c>
    </row>
    <row r="6" spans="1:8">
      <c r="A6" s="81">
        <v>3</v>
      </c>
      <c r="B6" s="81">
        <v>0</v>
      </c>
      <c r="C6" s="81">
        <v>3</v>
      </c>
      <c r="D6" s="81">
        <v>3</v>
      </c>
      <c r="E6" s="81">
        <v>0</v>
      </c>
      <c r="F6" s="81">
        <v>0</v>
      </c>
      <c r="G6" s="81">
        <v>1</v>
      </c>
      <c r="H6" s="81">
        <v>0</v>
      </c>
    </row>
    <row r="9" spans="1:8" ht="15" customHeight="1">
      <c r="A9" s="140" t="s">
        <v>296</v>
      </c>
      <c r="B9" s="140"/>
      <c r="C9" s="140"/>
      <c r="D9" s="140"/>
      <c r="E9" s="140"/>
      <c r="F9" s="140" t="s">
        <v>300</v>
      </c>
      <c r="G9" s="134" t="s">
        <v>302</v>
      </c>
      <c r="H9" s="134"/>
    </row>
    <row r="10" spans="1:8" ht="60" customHeight="1">
      <c r="A10" s="140" t="s">
        <v>297</v>
      </c>
      <c r="B10" s="140"/>
      <c r="C10" s="140" t="s">
        <v>298</v>
      </c>
      <c r="D10" s="140"/>
      <c r="E10" s="82" t="s">
        <v>299</v>
      </c>
      <c r="F10" s="140"/>
      <c r="G10" s="84" t="s">
        <v>208</v>
      </c>
      <c r="H10" s="82" t="s">
        <v>301</v>
      </c>
    </row>
    <row r="11" spans="1:8">
      <c r="A11" s="134">
        <v>9</v>
      </c>
      <c r="B11" s="134"/>
      <c r="C11" s="134">
        <v>10</v>
      </c>
      <c r="D11" s="134"/>
      <c r="E11" s="84">
        <v>11</v>
      </c>
      <c r="F11" s="84">
        <v>12</v>
      </c>
      <c r="G11" s="84">
        <v>13</v>
      </c>
      <c r="H11" s="84">
        <v>14</v>
      </c>
    </row>
    <row r="12" spans="1:8">
      <c r="A12" s="151">
        <v>1</v>
      </c>
      <c r="B12" s="151"/>
      <c r="C12" s="151">
        <v>2</v>
      </c>
      <c r="D12" s="151"/>
      <c r="E12" s="81">
        <v>0</v>
      </c>
      <c r="F12" s="81">
        <v>13</v>
      </c>
      <c r="G12" s="81">
        <v>923.7</v>
      </c>
      <c r="H12" s="81">
        <v>611.9</v>
      </c>
    </row>
    <row r="15" spans="1:8" ht="90" customHeight="1">
      <c r="A15" s="140" t="s">
        <v>303</v>
      </c>
      <c r="B15" s="140"/>
      <c r="C15" s="140" t="s">
        <v>304</v>
      </c>
      <c r="D15" s="140"/>
      <c r="E15" s="82" t="s">
        <v>305</v>
      </c>
      <c r="F15" s="82" t="s">
        <v>306</v>
      </c>
      <c r="G15" s="140" t="s">
        <v>307</v>
      </c>
      <c r="H15" s="140"/>
    </row>
    <row r="16" spans="1:8">
      <c r="A16" s="134">
        <v>15</v>
      </c>
      <c r="B16" s="134"/>
      <c r="C16" s="134">
        <v>16</v>
      </c>
      <c r="D16" s="134"/>
      <c r="E16" s="84">
        <v>17</v>
      </c>
      <c r="F16" s="84">
        <v>18</v>
      </c>
      <c r="G16" s="134">
        <v>19</v>
      </c>
      <c r="H16" s="134"/>
    </row>
    <row r="17" spans="1:8">
      <c r="A17" s="151">
        <v>1</v>
      </c>
      <c r="B17" s="151"/>
      <c r="C17" s="151">
        <v>1</v>
      </c>
      <c r="D17" s="151"/>
      <c r="E17" s="81">
        <v>1</v>
      </c>
      <c r="F17" s="81">
        <v>0</v>
      </c>
      <c r="G17" s="151">
        <v>0</v>
      </c>
      <c r="H17" s="151"/>
    </row>
    <row r="20" spans="1:8" ht="90" customHeight="1">
      <c r="A20" s="140" t="s">
        <v>308</v>
      </c>
      <c r="B20" s="140"/>
      <c r="C20" s="140" t="s">
        <v>309</v>
      </c>
      <c r="D20" s="140"/>
      <c r="E20" s="82" t="s">
        <v>310</v>
      </c>
    </row>
    <row r="21" spans="1:8">
      <c r="A21" s="134">
        <v>20</v>
      </c>
      <c r="B21" s="134"/>
      <c r="C21" s="134">
        <v>21</v>
      </c>
      <c r="D21" s="134"/>
      <c r="E21" s="84">
        <v>22</v>
      </c>
    </row>
    <row r="22" spans="1:8">
      <c r="A22" s="151">
        <v>0</v>
      </c>
      <c r="B22" s="151"/>
      <c r="C22" s="151">
        <v>0</v>
      </c>
      <c r="D22" s="151"/>
      <c r="E22" s="81">
        <v>13</v>
      </c>
    </row>
    <row r="25" spans="1:8">
      <c r="A25" s="128" t="s">
        <v>311</v>
      </c>
      <c r="B25" s="128"/>
      <c r="C25" s="128"/>
      <c r="D25" s="128"/>
      <c r="E25" s="128"/>
      <c r="F25" s="128"/>
      <c r="G25" s="128"/>
      <c r="H25" s="128"/>
    </row>
    <row r="26" spans="1:8">
      <c r="A26" s="84" t="s">
        <v>180</v>
      </c>
      <c r="B26" s="194" t="s">
        <v>312</v>
      </c>
      <c r="C26" s="194"/>
      <c r="D26" s="194"/>
      <c r="E26" s="194"/>
      <c r="F26" s="194"/>
      <c r="G26" s="194"/>
      <c r="H26" s="194"/>
    </row>
    <row r="27" spans="1:8">
      <c r="A27" s="80">
        <f>IF(1&lt;=A6,1,"")</f>
        <v>1</v>
      </c>
      <c r="B27" s="192" t="s">
        <v>465</v>
      </c>
      <c r="C27" s="192"/>
      <c r="D27" s="192"/>
      <c r="E27" s="192"/>
      <c r="F27" s="192"/>
      <c r="G27" s="192"/>
      <c r="H27" s="192"/>
    </row>
    <row r="28" spans="1:8">
      <c r="A28" s="80">
        <f>IF(A27&lt;A6,2,"")</f>
        <v>2</v>
      </c>
      <c r="B28" s="192" t="s">
        <v>466</v>
      </c>
      <c r="C28" s="192"/>
      <c r="D28" s="192"/>
      <c r="E28" s="192"/>
      <c r="F28" s="192"/>
      <c r="G28" s="192"/>
      <c r="H28" s="192"/>
    </row>
    <row r="29" spans="1:8">
      <c r="A29" s="80">
        <f>IF(A28&lt;A6,3,"")</f>
        <v>3</v>
      </c>
      <c r="B29" s="192" t="s">
        <v>467</v>
      </c>
      <c r="C29" s="192"/>
      <c r="D29" s="192"/>
      <c r="E29" s="192"/>
      <c r="F29" s="192"/>
      <c r="G29" s="192"/>
      <c r="H29" s="192"/>
    </row>
    <row r="30" spans="1:8">
      <c r="A30" s="80" t="str">
        <f>IF(A29&lt;A6,4,"")</f>
        <v/>
      </c>
      <c r="B30" s="192"/>
      <c r="C30" s="192"/>
      <c r="D30" s="192"/>
      <c r="E30" s="192"/>
      <c r="F30" s="192"/>
      <c r="G30" s="192"/>
      <c r="H30" s="192"/>
    </row>
    <row r="31" spans="1:8">
      <c r="A31" s="80" t="str">
        <f>IF(A30&lt;A6,5,"")</f>
        <v/>
      </c>
      <c r="B31" s="192"/>
      <c r="C31" s="192"/>
      <c r="D31" s="192"/>
      <c r="E31" s="192"/>
      <c r="F31" s="192"/>
      <c r="G31" s="192"/>
      <c r="H31" s="192"/>
    </row>
    <row r="32" spans="1:8">
      <c r="A32" s="80" t="str">
        <f>IF(A31&lt;A6,6,"")</f>
        <v/>
      </c>
      <c r="B32" s="193"/>
      <c r="C32" s="193"/>
      <c r="D32" s="193"/>
      <c r="E32" s="193"/>
      <c r="F32" s="193"/>
      <c r="G32" s="193"/>
      <c r="H32" s="193"/>
    </row>
    <row r="33" spans="1:8">
      <c r="A33" s="80" t="str">
        <f>IF(A32&lt;A6,7,"")</f>
        <v/>
      </c>
      <c r="B33" s="193"/>
      <c r="C33" s="193"/>
      <c r="D33" s="193"/>
      <c r="E33" s="193"/>
      <c r="F33" s="193"/>
      <c r="G33" s="193"/>
      <c r="H33" s="193"/>
    </row>
  </sheetData>
  <sheetProtection password="CC6D" sheet="1" objects="1" scenarios="1" selectLockedCells="1"/>
  <mergeCells count="38">
    <mergeCell ref="B3:D3"/>
    <mergeCell ref="E3:F3"/>
    <mergeCell ref="A3:A4"/>
    <mergeCell ref="G3:H3"/>
    <mergeCell ref="G9:H9"/>
    <mergeCell ref="F9:F10"/>
    <mergeCell ref="A9:E9"/>
    <mergeCell ref="A16:B16"/>
    <mergeCell ref="C16:D16"/>
    <mergeCell ref="G15:H15"/>
    <mergeCell ref="G16:H16"/>
    <mergeCell ref="C10:D10"/>
    <mergeCell ref="A10:B10"/>
    <mergeCell ref="A11:B11"/>
    <mergeCell ref="C11:D11"/>
    <mergeCell ref="A12:B12"/>
    <mergeCell ref="C12:D12"/>
    <mergeCell ref="B33:H33"/>
    <mergeCell ref="C22:D22"/>
    <mergeCell ref="A22:B22"/>
    <mergeCell ref="A1:H1"/>
    <mergeCell ref="A25:H25"/>
    <mergeCell ref="B26:H26"/>
    <mergeCell ref="B27:H27"/>
    <mergeCell ref="G17:H17"/>
    <mergeCell ref="C17:D17"/>
    <mergeCell ref="A17:B17"/>
    <mergeCell ref="A20:B20"/>
    <mergeCell ref="C20:D20"/>
    <mergeCell ref="C21:D21"/>
    <mergeCell ref="A21:B21"/>
    <mergeCell ref="A15:B15"/>
    <mergeCell ref="C15:D15"/>
    <mergeCell ref="B28:H28"/>
    <mergeCell ref="B29:H29"/>
    <mergeCell ref="B30:H30"/>
    <mergeCell ref="B31:H31"/>
    <mergeCell ref="B32:H32"/>
  </mergeCells>
  <conditionalFormatting sqref="A27:A33">
    <cfRule type="cellIs" dxfId="14" priority="2" operator="between">
      <formula>0</formula>
      <formula>$A$6</formula>
    </cfRule>
  </conditionalFormatting>
  <conditionalFormatting sqref="B27:H33">
    <cfRule type="cellIs" dxfId="13" priority="1" operator="greaterThan">
      <formula>0</formula>
    </cfRule>
  </conditionalFormatting>
  <dataValidations count="5">
    <dataValidation type="whole" allowBlank="1" showInputMessage="1" showErrorMessage="1" sqref="C22:E22 F12">
      <formula1>0</formula1>
      <formula2>100</formula2>
    </dataValidation>
    <dataValidation type="whole" allowBlank="1" showInputMessage="1" showErrorMessage="1" sqref="A22:B22 A17:H17">
      <formula1>0</formula1>
      <formula2>1</formula2>
    </dataValidation>
    <dataValidation type="whole" allowBlank="1" showInputMessage="1" showErrorMessage="1" sqref="A6:F6 A12:E12">
      <formula1>0</formula1>
      <formula2>10</formula2>
    </dataValidation>
    <dataValidation type="whole" allowBlank="1" showInputMessage="1" showErrorMessage="1" sqref="G6:H6">
      <formula1>0</formula1>
      <formula2>5</formula2>
    </dataValidation>
    <dataValidation type="decimal" allowBlank="1" showInputMessage="1" showErrorMessage="1" sqref="G12:H12">
      <formula1>0</formula1>
      <formula2>10000</formula2>
    </dataValidation>
  </dataValidations>
  <pageMargins left="0.7" right="0.7" top="0.75" bottom="0.75" header="0.3" footer="0.3"/>
  <pageSetup paperSize="9" orientation="portrait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3"/>
  <sheetViews>
    <sheetView view="pageLayout" workbookViewId="0">
      <selection activeCell="B5" sqref="B5"/>
    </sheetView>
  </sheetViews>
  <sheetFormatPr defaultRowHeight="15"/>
  <cols>
    <col min="1" max="1" width="27.140625" style="1" customWidth="1"/>
    <col min="2" max="7" width="17.28515625" style="1" customWidth="1"/>
    <col min="8" max="16384" width="9.140625" style="1"/>
  </cols>
  <sheetData>
    <row r="1" spans="1:8" ht="15.75">
      <c r="A1" s="127" t="s">
        <v>352</v>
      </c>
      <c r="B1" s="127"/>
      <c r="C1" s="127"/>
      <c r="D1" s="127"/>
      <c r="E1" s="127"/>
      <c r="F1" s="127"/>
      <c r="G1" s="127"/>
      <c r="H1" s="4"/>
    </row>
    <row r="3" spans="1:8">
      <c r="A3" s="134" t="s">
        <v>192</v>
      </c>
      <c r="B3" s="134" t="s">
        <v>266</v>
      </c>
      <c r="C3" s="134"/>
      <c r="D3" s="134"/>
      <c r="E3" s="134"/>
      <c r="F3" s="140" t="s">
        <v>342</v>
      </c>
      <c r="G3" s="140" t="s">
        <v>343</v>
      </c>
    </row>
    <row r="4" spans="1:8" ht="30" customHeight="1">
      <c r="A4" s="134"/>
      <c r="B4" s="112" t="s">
        <v>267</v>
      </c>
      <c r="C4" s="112" t="s">
        <v>268</v>
      </c>
      <c r="D4" s="112" t="s">
        <v>269</v>
      </c>
      <c r="E4" s="112" t="s">
        <v>208</v>
      </c>
      <c r="F4" s="140"/>
      <c r="G4" s="140"/>
    </row>
    <row r="5" spans="1:8" ht="15.75">
      <c r="A5" s="71" t="s">
        <v>270</v>
      </c>
      <c r="B5" s="72">
        <v>13</v>
      </c>
      <c r="C5" s="72">
        <v>5</v>
      </c>
      <c r="D5" s="72">
        <v>10</v>
      </c>
      <c r="E5" s="78">
        <f>B5+C5+D5</f>
        <v>28</v>
      </c>
      <c r="F5" s="72">
        <v>5</v>
      </c>
      <c r="G5" s="72">
        <v>1</v>
      </c>
    </row>
    <row r="6" spans="1:8" ht="15.75">
      <c r="A6" s="71" t="s">
        <v>271</v>
      </c>
      <c r="B6" s="72">
        <v>1</v>
      </c>
      <c r="C6" s="72">
        <v>3</v>
      </c>
      <c r="D6" s="72">
        <v>1</v>
      </c>
      <c r="E6" s="78">
        <f>B6+C6+D6</f>
        <v>5</v>
      </c>
      <c r="F6" s="72">
        <v>2</v>
      </c>
      <c r="G6" s="72">
        <v>0</v>
      </c>
    </row>
    <row r="7" spans="1:8" ht="15.75">
      <c r="A7" s="115" t="s">
        <v>30</v>
      </c>
      <c r="B7" s="116">
        <f>B5+B6</f>
        <v>14</v>
      </c>
      <c r="C7" s="116">
        <f t="shared" ref="C7:E7" si="0">C5+C6</f>
        <v>8</v>
      </c>
      <c r="D7" s="116">
        <f t="shared" si="0"/>
        <v>11</v>
      </c>
      <c r="E7" s="116">
        <f t="shared" si="0"/>
        <v>33</v>
      </c>
      <c r="F7" s="116">
        <f t="shared" ref="F7" si="1">F5+F6</f>
        <v>7</v>
      </c>
      <c r="G7" s="116">
        <f t="shared" ref="G7" si="2">G5+G6</f>
        <v>1</v>
      </c>
    </row>
    <row r="9" spans="1:8">
      <c r="A9" s="195" t="s">
        <v>353</v>
      </c>
      <c r="B9" s="195"/>
      <c r="C9" s="195"/>
      <c r="D9" s="195"/>
      <c r="E9" s="195"/>
      <c r="F9" s="195"/>
      <c r="G9" s="195"/>
    </row>
    <row r="10" spans="1:8">
      <c r="A10" s="195"/>
      <c r="B10" s="195"/>
      <c r="C10" s="195"/>
      <c r="D10" s="195"/>
      <c r="E10" s="195"/>
      <c r="F10" s="195"/>
      <c r="G10" s="195"/>
    </row>
    <row r="12" spans="1:8">
      <c r="A12" s="190" t="s">
        <v>272</v>
      </c>
      <c r="B12" s="190"/>
      <c r="C12" s="190"/>
      <c r="D12" s="190"/>
      <c r="E12" s="190"/>
      <c r="F12" s="190"/>
      <c r="G12" s="190"/>
    </row>
    <row r="13" spans="1:8">
      <c r="A13" s="134" t="s">
        <v>181</v>
      </c>
      <c r="B13" s="134"/>
      <c r="C13" s="134"/>
      <c r="D13" s="134" t="s">
        <v>192</v>
      </c>
      <c r="E13" s="134"/>
      <c r="F13" s="134" t="s">
        <v>184</v>
      </c>
      <c r="G13" s="134"/>
    </row>
    <row r="14" spans="1:8">
      <c r="A14" s="164" t="s">
        <v>419</v>
      </c>
      <c r="B14" s="164"/>
      <c r="C14" s="164"/>
      <c r="D14" s="164" t="s">
        <v>270</v>
      </c>
      <c r="E14" s="164"/>
      <c r="F14" s="164" t="s">
        <v>408</v>
      </c>
      <c r="G14" s="164"/>
    </row>
    <row r="15" spans="1:8">
      <c r="A15" s="164"/>
      <c r="B15" s="164"/>
      <c r="C15" s="164"/>
      <c r="D15" s="164"/>
      <c r="E15" s="164"/>
      <c r="F15" s="164"/>
      <c r="G15" s="164"/>
    </row>
    <row r="16" spans="1:8">
      <c r="A16" s="164"/>
      <c r="B16" s="164"/>
      <c r="C16" s="164"/>
      <c r="D16" s="164"/>
      <c r="E16" s="164"/>
      <c r="F16" s="164"/>
      <c r="G16" s="164"/>
    </row>
    <row r="17" spans="1:7">
      <c r="A17" s="164"/>
      <c r="B17" s="164"/>
      <c r="C17" s="164"/>
      <c r="D17" s="164"/>
      <c r="E17" s="164"/>
      <c r="F17" s="164"/>
      <c r="G17" s="164"/>
    </row>
    <row r="18" spans="1:7">
      <c r="A18" s="164"/>
      <c r="B18" s="164"/>
      <c r="C18" s="164"/>
      <c r="D18" s="164"/>
      <c r="E18" s="164"/>
      <c r="F18" s="164"/>
      <c r="G18" s="164"/>
    </row>
    <row r="19" spans="1:7">
      <c r="A19" s="164"/>
      <c r="B19" s="164"/>
      <c r="C19" s="164"/>
      <c r="D19" s="164"/>
      <c r="E19" s="164"/>
      <c r="F19" s="164"/>
      <c r="G19" s="164"/>
    </row>
    <row r="20" spans="1:7">
      <c r="A20" s="164"/>
      <c r="B20" s="164"/>
      <c r="C20" s="164"/>
      <c r="D20" s="164"/>
      <c r="E20" s="164"/>
      <c r="F20" s="164"/>
      <c r="G20" s="164"/>
    </row>
    <row r="21" spans="1:7">
      <c r="A21" s="164"/>
      <c r="B21" s="164"/>
      <c r="C21" s="164"/>
      <c r="D21" s="164"/>
      <c r="E21" s="164"/>
      <c r="F21" s="164"/>
      <c r="G21" s="164"/>
    </row>
    <row r="22" spans="1:7">
      <c r="A22" s="164"/>
      <c r="B22" s="164"/>
      <c r="C22" s="164"/>
      <c r="D22" s="164"/>
      <c r="E22" s="164"/>
      <c r="F22" s="164"/>
      <c r="G22" s="164"/>
    </row>
    <row r="23" spans="1:7">
      <c r="A23" s="164"/>
      <c r="B23" s="164"/>
      <c r="C23" s="164"/>
      <c r="D23" s="164"/>
      <c r="E23" s="164"/>
      <c r="F23" s="164"/>
      <c r="G23" s="164"/>
    </row>
    <row r="24" spans="1:7">
      <c r="A24" s="164"/>
      <c r="B24" s="164"/>
      <c r="C24" s="164"/>
      <c r="D24" s="164"/>
      <c r="E24" s="164"/>
      <c r="F24" s="164"/>
      <c r="G24" s="164"/>
    </row>
    <row r="25" spans="1:7">
      <c r="A25" s="164"/>
      <c r="B25" s="164"/>
      <c r="C25" s="164"/>
      <c r="D25" s="164"/>
      <c r="E25" s="164"/>
      <c r="F25" s="164"/>
      <c r="G25" s="164"/>
    </row>
    <row r="26" spans="1:7">
      <c r="A26" s="164"/>
      <c r="B26" s="164"/>
      <c r="C26" s="164"/>
      <c r="D26" s="164"/>
      <c r="E26" s="164"/>
      <c r="F26" s="164"/>
      <c r="G26" s="164"/>
    </row>
    <row r="27" spans="1:7">
      <c r="A27" s="164"/>
      <c r="B27" s="164"/>
      <c r="C27" s="164"/>
      <c r="D27" s="164"/>
      <c r="E27" s="164"/>
      <c r="F27" s="164"/>
      <c r="G27" s="164"/>
    </row>
    <row r="28" spans="1:7">
      <c r="A28" s="164"/>
      <c r="B28" s="164"/>
      <c r="C28" s="164"/>
      <c r="D28" s="164"/>
      <c r="E28" s="164"/>
      <c r="F28" s="164"/>
      <c r="G28" s="164"/>
    </row>
    <row r="29" spans="1:7">
      <c r="A29" s="164"/>
      <c r="B29" s="164"/>
      <c r="C29" s="164"/>
      <c r="D29" s="164"/>
      <c r="E29" s="164"/>
      <c r="F29" s="164"/>
      <c r="G29" s="164"/>
    </row>
    <row r="30" spans="1:7">
      <c r="A30" s="164"/>
      <c r="B30" s="164"/>
      <c r="C30" s="164"/>
      <c r="D30" s="164"/>
      <c r="E30" s="164"/>
      <c r="F30" s="164"/>
      <c r="G30" s="164"/>
    </row>
    <row r="31" spans="1:7">
      <c r="A31" s="164"/>
      <c r="B31" s="164"/>
      <c r="C31" s="164"/>
      <c r="D31" s="164"/>
      <c r="E31" s="164"/>
      <c r="F31" s="164"/>
      <c r="G31" s="164"/>
    </row>
    <row r="32" spans="1:7">
      <c r="A32" s="164"/>
      <c r="B32" s="164"/>
      <c r="C32" s="164"/>
      <c r="D32" s="164"/>
      <c r="E32" s="164"/>
      <c r="F32" s="164"/>
      <c r="G32" s="164"/>
    </row>
    <row r="33" spans="1:7">
      <c r="A33" s="111"/>
      <c r="B33" s="111"/>
      <c r="C33" s="111"/>
      <c r="D33" s="111"/>
      <c r="E33" s="111"/>
      <c r="F33" s="111"/>
      <c r="G33" s="111"/>
    </row>
  </sheetData>
  <sheetProtection password="CC6D" sheet="1" objects="1" scenarios="1" selectLockedCells="1"/>
  <mergeCells count="67">
    <mergeCell ref="F3:F4"/>
    <mergeCell ref="G3:G4"/>
    <mergeCell ref="A3:A4"/>
    <mergeCell ref="B3:E3"/>
    <mergeCell ref="D14:E14"/>
    <mergeCell ref="F14:G14"/>
    <mergeCell ref="A13:C13"/>
    <mergeCell ref="D13:E13"/>
    <mergeCell ref="F13:G13"/>
    <mergeCell ref="A14:C14"/>
    <mergeCell ref="A9:G10"/>
    <mergeCell ref="A22:C22"/>
    <mergeCell ref="F15:G15"/>
    <mergeCell ref="F16:G16"/>
    <mergeCell ref="F17:G17"/>
    <mergeCell ref="F18:G18"/>
    <mergeCell ref="F19:G19"/>
    <mergeCell ref="D16:E16"/>
    <mergeCell ref="A16:C16"/>
    <mergeCell ref="A18:C18"/>
    <mergeCell ref="A15:C15"/>
    <mergeCell ref="D15:E15"/>
    <mergeCell ref="F20:G20"/>
    <mergeCell ref="D18:E18"/>
    <mergeCell ref="D17:E17"/>
    <mergeCell ref="A19:C19"/>
    <mergeCell ref="D19:E19"/>
    <mergeCell ref="F25:G25"/>
    <mergeCell ref="F23:G23"/>
    <mergeCell ref="F24:G24"/>
    <mergeCell ref="A12:G12"/>
    <mergeCell ref="F21:G21"/>
    <mergeCell ref="D21:E21"/>
    <mergeCell ref="A21:C21"/>
    <mergeCell ref="A23:C23"/>
    <mergeCell ref="A24:C24"/>
    <mergeCell ref="D22:E22"/>
    <mergeCell ref="D23:E23"/>
    <mergeCell ref="D24:E24"/>
    <mergeCell ref="F22:G22"/>
    <mergeCell ref="A17:C17"/>
    <mergeCell ref="A20:C20"/>
    <mergeCell ref="D20:E20"/>
    <mergeCell ref="A25:C25"/>
    <mergeCell ref="A26:C26"/>
    <mergeCell ref="A27:C27"/>
    <mergeCell ref="A28:C28"/>
    <mergeCell ref="D25:E25"/>
    <mergeCell ref="D26:E26"/>
    <mergeCell ref="D27:E27"/>
    <mergeCell ref="D28:E28"/>
    <mergeCell ref="A1:G1"/>
    <mergeCell ref="F30:G30"/>
    <mergeCell ref="D30:E30"/>
    <mergeCell ref="D32:E32"/>
    <mergeCell ref="D31:E31"/>
    <mergeCell ref="F31:G31"/>
    <mergeCell ref="F32:G32"/>
    <mergeCell ref="D29:E29"/>
    <mergeCell ref="F29:G29"/>
    <mergeCell ref="F28:G28"/>
    <mergeCell ref="F26:G26"/>
    <mergeCell ref="F27:G27"/>
    <mergeCell ref="A29:C29"/>
    <mergeCell ref="A30:C30"/>
    <mergeCell ref="A31:C31"/>
    <mergeCell ref="A32:C32"/>
  </mergeCells>
  <conditionalFormatting sqref="A14:G24">
    <cfRule type="cellIs" dxfId="12" priority="2" operator="greaterThan">
      <formula>0</formula>
    </cfRule>
  </conditionalFormatting>
  <conditionalFormatting sqref="A25:G33">
    <cfRule type="cellIs" dxfId="11" priority="1" operator="greaterThan">
      <formula>0</formula>
    </cfRule>
  </conditionalFormatting>
  <dataValidations count="5">
    <dataValidation type="list" allowBlank="1" showErrorMessage="1" sqref="D14:E24">
      <formula1>"Преподаватель, Концертмейстер"</formula1>
    </dataValidation>
    <dataValidation type="list" allowBlank="1" showErrorMessage="1" sqref="F14:G24">
      <formula1>"Первая, Высшая"</formula1>
    </dataValidation>
    <dataValidation type="whole" allowBlank="1" showInputMessage="1" showErrorMessage="1" sqref="F5:G6 B5:D6">
      <formula1>0</formula1>
      <formula2>50</formula2>
    </dataValidation>
    <dataValidation type="list" allowBlank="1" showInputMessage="1" showErrorMessage="1" sqref="D25:E32">
      <formula1>"Преподаватель, Концертмейстер"</formula1>
    </dataValidation>
    <dataValidation type="list" allowBlank="1" showInputMessage="1" showErrorMessage="1" sqref="F25:G32">
      <formula1>"Первая, Высшая"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9"/>
  <sheetViews>
    <sheetView view="pageLayout" topLeftCell="A7" workbookViewId="0">
      <selection activeCell="B16" sqref="B16"/>
    </sheetView>
  </sheetViews>
  <sheetFormatPr defaultRowHeight="15"/>
  <cols>
    <col min="1" max="1" width="4.28515625" style="1" customWidth="1"/>
    <col min="2" max="2" width="34.140625" style="1" customWidth="1"/>
    <col min="3" max="3" width="14.140625" style="1" customWidth="1"/>
    <col min="4" max="8" width="15.7109375" style="1" customWidth="1"/>
    <col min="9" max="16384" width="9.140625" style="1"/>
  </cols>
  <sheetData>
    <row r="1" spans="1:8" ht="15.75">
      <c r="A1" s="127" t="s">
        <v>355</v>
      </c>
      <c r="B1" s="127"/>
      <c r="C1" s="127"/>
      <c r="D1" s="127"/>
      <c r="E1" s="127"/>
      <c r="F1" s="127"/>
      <c r="G1" s="127"/>
      <c r="H1" s="127"/>
    </row>
    <row r="3" spans="1:8" ht="15" customHeight="1">
      <c r="A3" s="140" t="s">
        <v>180</v>
      </c>
      <c r="B3" s="140" t="s">
        <v>214</v>
      </c>
      <c r="C3" s="140" t="s">
        <v>215</v>
      </c>
      <c r="D3" s="140" t="s">
        <v>216</v>
      </c>
      <c r="E3" s="187" t="s">
        <v>217</v>
      </c>
      <c r="F3" s="188"/>
      <c r="G3" s="188"/>
      <c r="H3" s="189"/>
    </row>
    <row r="4" spans="1:8" ht="45">
      <c r="A4" s="140"/>
      <c r="B4" s="140"/>
      <c r="C4" s="140"/>
      <c r="D4" s="140"/>
      <c r="E4" s="82" t="s">
        <v>218</v>
      </c>
      <c r="F4" s="82" t="s">
        <v>219</v>
      </c>
      <c r="G4" s="82" t="s">
        <v>220</v>
      </c>
      <c r="H4" s="82" t="s">
        <v>221</v>
      </c>
    </row>
    <row r="5" spans="1:8" ht="30">
      <c r="A5" s="82">
        <v>1</v>
      </c>
      <c r="B5" s="67" t="s">
        <v>469</v>
      </c>
      <c r="C5" s="66" t="s">
        <v>468</v>
      </c>
      <c r="D5" s="63">
        <f>E5+F5+G5+H5</f>
        <v>659.5</v>
      </c>
      <c r="E5" s="66"/>
      <c r="F5" s="66">
        <v>659.5</v>
      </c>
      <c r="G5" s="66"/>
      <c r="H5" s="66"/>
    </row>
    <row r="6" spans="1:8">
      <c r="A6" s="82">
        <v>2</v>
      </c>
      <c r="B6" s="67"/>
      <c r="C6" s="66"/>
      <c r="D6" s="63">
        <f t="shared" ref="D6:D7" si="0">E6+F6+G6+H6</f>
        <v>0</v>
      </c>
      <c r="E6" s="66"/>
      <c r="F6" s="66"/>
      <c r="G6" s="66"/>
      <c r="H6" s="66"/>
    </row>
    <row r="7" spans="1:8">
      <c r="A7" s="82">
        <v>3</v>
      </c>
      <c r="B7" s="67"/>
      <c r="C7" s="66"/>
      <c r="D7" s="63">
        <f t="shared" si="0"/>
        <v>0</v>
      </c>
      <c r="E7" s="66"/>
      <c r="F7" s="66"/>
      <c r="G7" s="66"/>
      <c r="H7" s="66"/>
    </row>
    <row r="8" spans="1:8" ht="15" customHeight="1">
      <c r="A8" s="15"/>
      <c r="B8" s="15"/>
      <c r="C8" s="15"/>
      <c r="D8" s="15"/>
      <c r="E8" s="15"/>
      <c r="F8" s="15"/>
      <c r="G8" s="15"/>
      <c r="H8" s="15"/>
    </row>
    <row r="9" spans="1:8" ht="15" customHeight="1">
      <c r="A9" s="196" t="s">
        <v>356</v>
      </c>
      <c r="B9" s="196"/>
      <c r="C9" s="196"/>
      <c r="D9" s="196"/>
      <c r="E9" s="196"/>
      <c r="F9" s="196"/>
      <c r="G9" s="196"/>
      <c r="H9" s="196"/>
    </row>
    <row r="11" spans="1:8">
      <c r="A11" s="140" t="s">
        <v>180</v>
      </c>
      <c r="B11" s="140" t="s">
        <v>227</v>
      </c>
      <c r="C11" s="140" t="s">
        <v>222</v>
      </c>
      <c r="D11" s="140" t="s">
        <v>223</v>
      </c>
      <c r="E11" s="187" t="s">
        <v>217</v>
      </c>
      <c r="F11" s="188"/>
      <c r="G11" s="188"/>
      <c r="H11" s="189"/>
    </row>
    <row r="12" spans="1:8" ht="45">
      <c r="A12" s="140"/>
      <c r="B12" s="140"/>
      <c r="C12" s="140"/>
      <c r="D12" s="140"/>
      <c r="E12" s="82" t="s">
        <v>224</v>
      </c>
      <c r="F12" s="82" t="s">
        <v>225</v>
      </c>
      <c r="G12" s="82" t="s">
        <v>226</v>
      </c>
      <c r="H12" s="82" t="s">
        <v>228</v>
      </c>
    </row>
    <row r="13" spans="1:8">
      <c r="A13" s="64">
        <v>1</v>
      </c>
      <c r="B13" s="64" t="s">
        <v>470</v>
      </c>
      <c r="C13" s="64">
        <v>1</v>
      </c>
      <c r="D13" s="64">
        <v>160000</v>
      </c>
      <c r="E13" s="64"/>
      <c r="F13" s="64">
        <v>160000</v>
      </c>
      <c r="G13" s="64"/>
      <c r="H13" s="64"/>
    </row>
    <row r="14" spans="1:8">
      <c r="A14" s="64">
        <v>2</v>
      </c>
      <c r="B14" s="64" t="s">
        <v>471</v>
      </c>
      <c r="C14" s="64">
        <v>2</v>
      </c>
      <c r="D14" s="64">
        <v>154000</v>
      </c>
      <c r="E14" s="64"/>
      <c r="F14" s="64">
        <v>154000</v>
      </c>
      <c r="G14" s="64"/>
      <c r="H14" s="64"/>
    </row>
    <row r="15" spans="1:8" ht="30">
      <c r="A15" s="64">
        <v>3</v>
      </c>
      <c r="B15" s="64" t="s">
        <v>475</v>
      </c>
      <c r="C15" s="64">
        <v>1</v>
      </c>
      <c r="D15" s="64">
        <v>249900</v>
      </c>
      <c r="E15" s="64"/>
      <c r="F15" s="64">
        <v>249900</v>
      </c>
      <c r="G15" s="64"/>
      <c r="H15" s="64"/>
    </row>
    <row r="16" spans="1:8">
      <c r="A16" s="64">
        <v>4</v>
      </c>
      <c r="B16" s="64" t="s">
        <v>476</v>
      </c>
      <c r="C16" s="64">
        <v>3</v>
      </c>
      <c r="D16" s="64">
        <v>155896.04999999999</v>
      </c>
      <c r="E16" s="64"/>
      <c r="F16" s="64">
        <v>155896.04999999999</v>
      </c>
      <c r="G16" s="64"/>
      <c r="H16" s="64"/>
    </row>
    <row r="17" spans="1:8">
      <c r="A17" s="64">
        <v>5</v>
      </c>
      <c r="B17" s="64" t="s">
        <v>472</v>
      </c>
      <c r="C17" s="64">
        <v>1</v>
      </c>
      <c r="D17" s="64">
        <v>6751</v>
      </c>
      <c r="E17" s="64"/>
      <c r="F17" s="64">
        <v>6751</v>
      </c>
      <c r="G17" s="64"/>
      <c r="H17" s="64"/>
    </row>
    <row r="18" spans="1:8" ht="30">
      <c r="A18" s="64">
        <v>6</v>
      </c>
      <c r="B18" s="64" t="s">
        <v>473</v>
      </c>
      <c r="C18" s="64">
        <v>1</v>
      </c>
      <c r="D18" s="64">
        <v>6580</v>
      </c>
      <c r="E18" s="64"/>
      <c r="F18" s="64">
        <v>6580</v>
      </c>
      <c r="G18" s="64"/>
      <c r="H18" s="64"/>
    </row>
    <row r="19" spans="1:8" ht="45">
      <c r="A19" s="64">
        <v>7</v>
      </c>
      <c r="B19" s="64" t="s">
        <v>474</v>
      </c>
      <c r="C19" s="64">
        <v>1</v>
      </c>
      <c r="D19" s="64">
        <v>66669</v>
      </c>
      <c r="E19" s="64"/>
      <c r="F19" s="64">
        <v>66669</v>
      </c>
      <c r="G19" s="64"/>
      <c r="H19" s="64"/>
    </row>
    <row r="20" spans="1:8">
      <c r="A20" s="64"/>
      <c r="B20" s="64"/>
      <c r="C20" s="64"/>
      <c r="D20" s="64"/>
      <c r="E20" s="64"/>
      <c r="F20" s="64"/>
      <c r="G20" s="64"/>
      <c r="H20" s="64"/>
    </row>
    <row r="21" spans="1:8">
      <c r="A21" s="64"/>
      <c r="B21" s="64"/>
      <c r="C21" s="64"/>
      <c r="D21" s="64"/>
      <c r="E21" s="64"/>
      <c r="F21" s="64"/>
      <c r="G21" s="64"/>
      <c r="H21" s="64"/>
    </row>
    <row r="22" spans="1:8">
      <c r="A22" s="64"/>
      <c r="B22" s="64"/>
      <c r="C22" s="64"/>
      <c r="D22" s="64"/>
      <c r="E22" s="64"/>
      <c r="F22" s="64"/>
      <c r="G22" s="64"/>
      <c r="H22" s="64"/>
    </row>
    <row r="23" spans="1:8">
      <c r="A23" s="64"/>
      <c r="B23" s="64"/>
      <c r="C23" s="64"/>
      <c r="D23" s="64"/>
      <c r="E23" s="64"/>
      <c r="F23" s="64"/>
      <c r="G23" s="64"/>
      <c r="H23" s="64"/>
    </row>
    <row r="24" spans="1:8">
      <c r="A24" s="64"/>
      <c r="B24" s="64"/>
      <c r="C24" s="64"/>
      <c r="D24" s="64"/>
      <c r="E24" s="64"/>
      <c r="F24" s="64"/>
      <c r="G24" s="64"/>
      <c r="H24" s="64"/>
    </row>
    <row r="25" spans="1:8">
      <c r="A25" s="64"/>
      <c r="B25" s="64"/>
      <c r="C25" s="64"/>
      <c r="D25" s="64"/>
      <c r="E25" s="64"/>
      <c r="F25" s="64"/>
      <c r="G25" s="64"/>
      <c r="H25" s="64"/>
    </row>
    <row r="26" spans="1:8">
      <c r="A26" s="64"/>
      <c r="B26" s="64"/>
      <c r="C26" s="64"/>
      <c r="D26" s="64"/>
      <c r="E26" s="64"/>
      <c r="F26" s="64"/>
      <c r="G26" s="64"/>
      <c r="H26" s="64"/>
    </row>
    <row r="27" spans="1:8">
      <c r="A27" s="64"/>
      <c r="B27" s="64"/>
      <c r="C27" s="64"/>
      <c r="D27" s="64"/>
      <c r="E27" s="64"/>
      <c r="F27" s="64"/>
      <c r="G27" s="64"/>
      <c r="H27" s="64"/>
    </row>
    <row r="28" spans="1:8">
      <c r="A28" s="70"/>
      <c r="B28" s="70"/>
      <c r="C28" s="70"/>
      <c r="D28" s="70"/>
      <c r="E28" s="70"/>
      <c r="F28" s="70"/>
      <c r="G28" s="70"/>
      <c r="H28" s="70"/>
    </row>
    <row r="29" spans="1:8">
      <c r="A29" s="70"/>
      <c r="B29" s="70"/>
      <c r="C29" s="70"/>
      <c r="D29" s="70"/>
      <c r="E29" s="70"/>
      <c r="F29" s="70"/>
      <c r="G29" s="70"/>
      <c r="H29" s="70"/>
    </row>
  </sheetData>
  <sheetProtection password="CC6D" sheet="1" objects="1" scenarios="1" selectLockedCells="1"/>
  <mergeCells count="12">
    <mergeCell ref="A9:H9"/>
    <mergeCell ref="E11:H11"/>
    <mergeCell ref="D11:D12"/>
    <mergeCell ref="C11:C12"/>
    <mergeCell ref="B11:B12"/>
    <mergeCell ref="A11:A12"/>
    <mergeCell ref="A1:H1"/>
    <mergeCell ref="D3:D4"/>
    <mergeCell ref="C3:C4"/>
    <mergeCell ref="B3:B4"/>
    <mergeCell ref="A3:A4"/>
    <mergeCell ref="E3:H3"/>
  </mergeCells>
  <conditionalFormatting sqref="B13:H27">
    <cfRule type="cellIs" dxfId="10" priority="2" operator="greaterThan">
      <formula>0</formula>
    </cfRule>
  </conditionalFormatting>
  <conditionalFormatting sqref="A13:A27">
    <cfRule type="cellIs" dxfId="9" priority="1" operator="greaterThan">
      <formula>0</formula>
    </cfRule>
  </conditionalFormatting>
  <dataValidations count="5">
    <dataValidation type="list" allowBlank="1" showInputMessage="1" showErrorMessage="1" sqref="C5:C8">
      <formula1>"Текущий, Капитальный"</formula1>
    </dataValidation>
    <dataValidation type="decimal" allowBlank="1" showInputMessage="1" showErrorMessage="1" sqref="E5:H7">
      <formula1>0</formula1>
      <formula2>9999999</formula2>
    </dataValidation>
    <dataValidation type="whole" allowBlank="1" showInputMessage="1" showErrorMessage="1" sqref="A13:A27">
      <formula1>0</formula1>
      <formula2>15</formula2>
    </dataValidation>
    <dataValidation type="whole" allowBlank="1" showInputMessage="1" showErrorMessage="1" sqref="C13:C27">
      <formula1>0</formula1>
      <formula2>100</formula2>
    </dataValidation>
    <dataValidation type="decimal" allowBlank="1" showInputMessage="1" showErrorMessage="1" sqref="D13:G27">
      <formula1>0</formula1>
      <formula2>1000000000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0"/>
  <sheetViews>
    <sheetView view="pageLayout" topLeftCell="A4" workbookViewId="0">
      <selection activeCell="D29" sqref="D29"/>
    </sheetView>
  </sheetViews>
  <sheetFormatPr defaultRowHeight="15"/>
  <cols>
    <col min="1" max="1" width="27.85546875" style="1" customWidth="1"/>
    <col min="2" max="2" width="14.5703125" style="1" customWidth="1"/>
    <col min="3" max="3" width="15.85546875" style="1" customWidth="1"/>
    <col min="4" max="5" width="14.5703125" style="1" customWidth="1"/>
    <col min="6" max="16384" width="9.140625" style="1"/>
  </cols>
  <sheetData>
    <row r="1" spans="1:5" ht="15.75">
      <c r="A1" s="127" t="s">
        <v>357</v>
      </c>
      <c r="B1" s="127"/>
      <c r="C1" s="127"/>
      <c r="D1" s="127"/>
      <c r="E1" s="127"/>
    </row>
    <row r="3" spans="1:5" ht="45" customHeight="1">
      <c r="A3" s="140" t="s">
        <v>229</v>
      </c>
      <c r="B3" s="140" t="s">
        <v>234</v>
      </c>
      <c r="C3" s="140"/>
      <c r="D3" s="140" t="s">
        <v>232</v>
      </c>
      <c r="E3" s="140" t="s">
        <v>233</v>
      </c>
    </row>
    <row r="4" spans="1:5" ht="60" customHeight="1">
      <c r="A4" s="140"/>
      <c r="B4" s="87" t="s">
        <v>230</v>
      </c>
      <c r="C4" s="87" t="s">
        <v>231</v>
      </c>
      <c r="D4" s="140"/>
      <c r="E4" s="140"/>
    </row>
    <row r="5" spans="1:5">
      <c r="A5" s="69" t="s">
        <v>235</v>
      </c>
      <c r="B5" s="68">
        <v>2</v>
      </c>
      <c r="C5" s="68">
        <v>0</v>
      </c>
      <c r="D5" s="68">
        <v>0</v>
      </c>
      <c r="E5" s="73">
        <f>IF((B5+C5)&gt;0, D5*100/(B5+C5), B5+C5)</f>
        <v>0</v>
      </c>
    </row>
    <row r="6" spans="1:5">
      <c r="A6" s="69" t="s">
        <v>236</v>
      </c>
      <c r="B6" s="68">
        <v>18</v>
      </c>
      <c r="C6" s="68">
        <v>0</v>
      </c>
      <c r="D6" s="68">
        <v>4</v>
      </c>
      <c r="E6" s="73">
        <f t="shared" ref="E6:E30" si="0">IF((B6+C6)&gt;0, D6*100/(B6+C6), B6+C6)</f>
        <v>22.222222222222221</v>
      </c>
    </row>
    <row r="7" spans="1:5">
      <c r="A7" s="69" t="s">
        <v>237</v>
      </c>
      <c r="B7" s="68">
        <v>8</v>
      </c>
      <c r="C7" s="68">
        <v>0</v>
      </c>
      <c r="D7" s="68">
        <v>0</v>
      </c>
      <c r="E7" s="73">
        <f t="shared" si="0"/>
        <v>0</v>
      </c>
    </row>
    <row r="8" spans="1:5">
      <c r="A8" s="69" t="s">
        <v>238</v>
      </c>
      <c r="B8" s="68">
        <v>0</v>
      </c>
      <c r="C8" s="68">
        <v>0</v>
      </c>
      <c r="D8" s="68">
        <v>0</v>
      </c>
      <c r="E8" s="73">
        <f t="shared" si="0"/>
        <v>0</v>
      </c>
    </row>
    <row r="9" spans="1:5">
      <c r="A9" s="69" t="s">
        <v>239</v>
      </c>
      <c r="B9" s="68">
        <v>0</v>
      </c>
      <c r="C9" s="68">
        <v>0</v>
      </c>
      <c r="D9" s="68">
        <v>0</v>
      </c>
      <c r="E9" s="73">
        <f t="shared" si="0"/>
        <v>0</v>
      </c>
    </row>
    <row r="10" spans="1:5">
      <c r="A10" s="69" t="s">
        <v>240</v>
      </c>
      <c r="B10" s="68">
        <v>0</v>
      </c>
      <c r="C10" s="68">
        <v>0</v>
      </c>
      <c r="D10" s="68">
        <v>0</v>
      </c>
      <c r="E10" s="73">
        <f t="shared" si="0"/>
        <v>0</v>
      </c>
    </row>
    <row r="11" spans="1:5">
      <c r="A11" s="69" t="s">
        <v>241</v>
      </c>
      <c r="B11" s="68">
        <v>0</v>
      </c>
      <c r="C11" s="68">
        <v>0</v>
      </c>
      <c r="D11" s="68">
        <v>0</v>
      </c>
      <c r="E11" s="73">
        <f t="shared" si="0"/>
        <v>0</v>
      </c>
    </row>
    <row r="12" spans="1:5">
      <c r="A12" s="69" t="s">
        <v>242</v>
      </c>
      <c r="B12" s="68">
        <v>0</v>
      </c>
      <c r="C12" s="68">
        <v>0</v>
      </c>
      <c r="D12" s="68">
        <v>0</v>
      </c>
      <c r="E12" s="73">
        <f t="shared" si="0"/>
        <v>0</v>
      </c>
    </row>
    <row r="13" spans="1:5">
      <c r="A13" s="69" t="s">
        <v>243</v>
      </c>
      <c r="B13" s="68">
        <v>0</v>
      </c>
      <c r="C13" s="68">
        <v>0</v>
      </c>
      <c r="D13" s="68">
        <v>0</v>
      </c>
      <c r="E13" s="73">
        <f t="shared" si="0"/>
        <v>0</v>
      </c>
    </row>
    <row r="14" spans="1:5">
      <c r="A14" s="69" t="s">
        <v>244</v>
      </c>
      <c r="B14" s="68">
        <v>0</v>
      </c>
      <c r="C14" s="68">
        <v>0</v>
      </c>
      <c r="D14" s="68">
        <v>0</v>
      </c>
      <c r="E14" s="73">
        <f t="shared" si="0"/>
        <v>0</v>
      </c>
    </row>
    <row r="15" spans="1:5">
      <c r="A15" s="69" t="s">
        <v>245</v>
      </c>
      <c r="B15" s="68">
        <v>0</v>
      </c>
      <c r="C15" s="68">
        <v>0</v>
      </c>
      <c r="D15" s="68">
        <v>0</v>
      </c>
      <c r="E15" s="73">
        <f t="shared" si="0"/>
        <v>0</v>
      </c>
    </row>
    <row r="16" spans="1:5">
      <c r="A16" s="69" t="s">
        <v>246</v>
      </c>
      <c r="B16" s="68">
        <v>1</v>
      </c>
      <c r="C16" s="68">
        <v>0</v>
      </c>
      <c r="D16" s="68">
        <v>0</v>
      </c>
      <c r="E16" s="73">
        <f t="shared" si="0"/>
        <v>0</v>
      </c>
    </row>
    <row r="17" spans="1:5">
      <c r="A17" s="69" t="s">
        <v>247</v>
      </c>
      <c r="B17" s="68">
        <v>0</v>
      </c>
      <c r="C17" s="68">
        <v>0</v>
      </c>
      <c r="D17" s="68">
        <v>0</v>
      </c>
      <c r="E17" s="73">
        <f t="shared" si="0"/>
        <v>0</v>
      </c>
    </row>
    <row r="18" spans="1:5">
      <c r="A18" s="69" t="s">
        <v>248</v>
      </c>
      <c r="B18" s="68">
        <v>0</v>
      </c>
      <c r="C18" s="68">
        <v>0</v>
      </c>
      <c r="D18" s="68">
        <v>0</v>
      </c>
      <c r="E18" s="73">
        <f t="shared" si="0"/>
        <v>0</v>
      </c>
    </row>
    <row r="19" spans="1:5">
      <c r="A19" s="69" t="s">
        <v>249</v>
      </c>
      <c r="B19" s="68">
        <v>0</v>
      </c>
      <c r="C19" s="68">
        <v>0</v>
      </c>
      <c r="D19" s="68">
        <v>0</v>
      </c>
      <c r="E19" s="73">
        <f t="shared" si="0"/>
        <v>0</v>
      </c>
    </row>
    <row r="20" spans="1:5">
      <c r="A20" s="69" t="s">
        <v>250</v>
      </c>
      <c r="B20" s="68">
        <v>0</v>
      </c>
      <c r="C20" s="68">
        <v>0</v>
      </c>
      <c r="D20" s="68">
        <v>0</v>
      </c>
      <c r="E20" s="73">
        <f t="shared" si="0"/>
        <v>0</v>
      </c>
    </row>
    <row r="21" spans="1:5">
      <c r="A21" s="69" t="s">
        <v>251</v>
      </c>
      <c r="B21" s="68">
        <v>2</v>
      </c>
      <c r="C21" s="68">
        <v>0</v>
      </c>
      <c r="D21" s="68">
        <v>0</v>
      </c>
      <c r="E21" s="73">
        <f t="shared" si="0"/>
        <v>0</v>
      </c>
    </row>
    <row r="22" spans="1:5" ht="30">
      <c r="A22" s="74" t="s">
        <v>258</v>
      </c>
      <c r="B22" s="68">
        <v>16</v>
      </c>
      <c r="C22" s="68">
        <v>0</v>
      </c>
      <c r="D22" s="68">
        <v>0</v>
      </c>
      <c r="E22" s="73">
        <f t="shared" si="0"/>
        <v>0</v>
      </c>
    </row>
    <row r="23" spans="1:5">
      <c r="A23" s="69" t="s">
        <v>252</v>
      </c>
      <c r="B23" s="68">
        <v>21</v>
      </c>
      <c r="C23" s="68">
        <v>0</v>
      </c>
      <c r="D23" s="68">
        <v>4</v>
      </c>
      <c r="E23" s="73">
        <f t="shared" si="0"/>
        <v>19.047619047619047</v>
      </c>
    </row>
    <row r="24" spans="1:5">
      <c r="A24" s="69" t="s">
        <v>253</v>
      </c>
      <c r="B24" s="68">
        <v>9</v>
      </c>
      <c r="C24" s="68">
        <v>2</v>
      </c>
      <c r="D24" s="68">
        <v>3</v>
      </c>
      <c r="E24" s="73">
        <f t="shared" si="0"/>
        <v>27.272727272727273</v>
      </c>
    </row>
    <row r="25" spans="1:5">
      <c r="A25" s="69" t="s">
        <v>254</v>
      </c>
      <c r="B25" s="68">
        <v>15</v>
      </c>
      <c r="C25" s="68">
        <v>0</v>
      </c>
      <c r="D25" s="68">
        <v>0</v>
      </c>
      <c r="E25" s="73">
        <f t="shared" si="0"/>
        <v>0</v>
      </c>
    </row>
    <row r="26" spans="1:5">
      <c r="A26" s="69" t="s">
        <v>255</v>
      </c>
      <c r="B26" s="68">
        <v>6</v>
      </c>
      <c r="C26" s="68">
        <v>0</v>
      </c>
      <c r="D26" s="68">
        <v>0</v>
      </c>
      <c r="E26" s="73">
        <f t="shared" si="0"/>
        <v>0</v>
      </c>
    </row>
    <row r="27" spans="1:5">
      <c r="A27" s="69" t="s">
        <v>256</v>
      </c>
      <c r="B27" s="68">
        <v>0</v>
      </c>
      <c r="C27" s="68">
        <v>0</v>
      </c>
      <c r="D27" s="68">
        <v>0</v>
      </c>
      <c r="E27" s="73">
        <f t="shared" si="0"/>
        <v>0</v>
      </c>
    </row>
    <row r="28" spans="1:5">
      <c r="A28" s="69" t="s">
        <v>257</v>
      </c>
      <c r="B28" s="68">
        <v>0</v>
      </c>
      <c r="C28" s="68">
        <v>0</v>
      </c>
      <c r="D28" s="68">
        <v>0</v>
      </c>
      <c r="E28" s="73">
        <f t="shared" si="0"/>
        <v>0</v>
      </c>
    </row>
    <row r="29" spans="1:5">
      <c r="A29" s="69" t="s">
        <v>260</v>
      </c>
      <c r="B29" s="68">
        <v>0</v>
      </c>
      <c r="C29" s="68">
        <v>0</v>
      </c>
      <c r="D29" s="68">
        <v>0</v>
      </c>
      <c r="E29" s="73">
        <f t="shared" si="0"/>
        <v>0</v>
      </c>
    </row>
    <row r="30" spans="1:5">
      <c r="A30" s="83" t="s">
        <v>259</v>
      </c>
      <c r="B30" s="84">
        <f>SUM(B5:B29)</f>
        <v>98</v>
      </c>
      <c r="C30" s="84">
        <f t="shared" ref="C30:D30" si="1">SUM(C5:C29)</f>
        <v>2</v>
      </c>
      <c r="D30" s="84">
        <f t="shared" si="1"/>
        <v>11</v>
      </c>
      <c r="E30" s="85">
        <f t="shared" si="0"/>
        <v>11</v>
      </c>
    </row>
  </sheetData>
  <sheetProtection password="CC6D" sheet="1" objects="1" scenarios="1" selectLockedCells="1"/>
  <mergeCells count="5">
    <mergeCell ref="A3:A4"/>
    <mergeCell ref="B3:C3"/>
    <mergeCell ref="D3:D4"/>
    <mergeCell ref="E3:E4"/>
    <mergeCell ref="A1:E1"/>
  </mergeCells>
  <dataValidations count="1">
    <dataValidation type="whole" allowBlank="1" showInputMessage="1" showErrorMessage="1" sqref="B5:D29">
      <formula1>0</formula1>
      <formula2>100</formula2>
    </dataValidation>
  </dataValidations>
  <pageMargins left="0.7" right="0.7" top="0.75" bottom="0.75" header="0.3" footer="0.3"/>
  <pageSetup paperSize="9" orientation="portrait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19"/>
  <sheetViews>
    <sheetView view="pageLayout" workbookViewId="0">
      <selection activeCell="B5" sqref="B5"/>
    </sheetView>
  </sheetViews>
  <sheetFormatPr defaultRowHeight="15"/>
  <cols>
    <col min="1" max="1" width="5.85546875" style="1" customWidth="1"/>
    <col min="2" max="2" width="29.28515625" style="1" customWidth="1"/>
    <col min="3" max="8" width="16" style="1" customWidth="1"/>
    <col min="9" max="16384" width="9.140625" style="1"/>
  </cols>
  <sheetData>
    <row r="1" spans="1:8" ht="15.75">
      <c r="A1" s="127" t="s">
        <v>358</v>
      </c>
      <c r="B1" s="127"/>
      <c r="C1" s="127"/>
      <c r="D1" s="127"/>
      <c r="E1" s="127"/>
      <c r="F1" s="127"/>
      <c r="G1" s="127"/>
      <c r="H1" s="127"/>
    </row>
    <row r="3" spans="1:8">
      <c r="A3" s="140" t="s">
        <v>180</v>
      </c>
      <c r="B3" s="140" t="s">
        <v>261</v>
      </c>
      <c r="C3" s="140" t="s">
        <v>222</v>
      </c>
      <c r="D3" s="140" t="s">
        <v>223</v>
      </c>
      <c r="E3" s="140" t="s">
        <v>217</v>
      </c>
      <c r="F3" s="140"/>
      <c r="G3" s="140"/>
      <c r="H3" s="140"/>
    </row>
    <row r="4" spans="1:8" ht="45">
      <c r="A4" s="140"/>
      <c r="B4" s="140"/>
      <c r="C4" s="140"/>
      <c r="D4" s="140"/>
      <c r="E4" s="82" t="s">
        <v>262</v>
      </c>
      <c r="F4" s="82" t="s">
        <v>263</v>
      </c>
      <c r="G4" s="82" t="s">
        <v>264</v>
      </c>
      <c r="H4" s="82" t="s">
        <v>265</v>
      </c>
    </row>
    <row r="5" spans="1:8">
      <c r="A5" s="79" t="str">
        <f>IF(OR(B5&lt;&gt;0, C5&lt;&gt;0, E5&lt;&gt;0, F5&lt;&gt;0, G5&lt;&gt;0, H5&lt;&gt;0), 1, "")</f>
        <v/>
      </c>
      <c r="B5" s="64"/>
      <c r="C5" s="64"/>
      <c r="D5" s="75" t="str">
        <f>IF((E5+F5+G5)&gt;0, E5+F5+G5, "")</f>
        <v/>
      </c>
      <c r="E5" s="64"/>
      <c r="F5" s="64"/>
      <c r="G5" s="64"/>
      <c r="H5" s="64"/>
    </row>
    <row r="6" spans="1:8">
      <c r="A6" s="79" t="str">
        <f>IF(OR(B6&lt;&gt;0, C6&lt;&gt;0, E6&lt;&gt;0, F6&lt;&gt;0, G6&lt;&gt;0, H6&lt;&gt;0), 2, "")</f>
        <v/>
      </c>
      <c r="B6" s="64"/>
      <c r="C6" s="64"/>
      <c r="D6" s="75" t="str">
        <f t="shared" ref="D6:D19" si="0">IF((E6+F6+G6)&gt;0, E6+F6+G6, "")</f>
        <v/>
      </c>
      <c r="E6" s="64"/>
      <c r="F6" s="64"/>
      <c r="G6" s="64"/>
      <c r="H6" s="64"/>
    </row>
    <row r="7" spans="1:8">
      <c r="A7" s="79" t="str">
        <f>IF(OR(B7&lt;&gt;0, C7&lt;&gt;0, E7&lt;&gt;0, F7&lt;&gt;0, G7&lt;&gt;0, H7&lt;&gt;0), 3, "")</f>
        <v/>
      </c>
      <c r="B7" s="64"/>
      <c r="C7" s="64"/>
      <c r="D7" s="75" t="str">
        <f t="shared" si="0"/>
        <v/>
      </c>
      <c r="E7" s="64"/>
      <c r="F7" s="64"/>
      <c r="G7" s="64"/>
      <c r="H7" s="64"/>
    </row>
    <row r="8" spans="1:8">
      <c r="A8" s="79" t="str">
        <f>IF(OR(B8&lt;&gt;0, C8&lt;&gt;0, E8&lt;&gt;0, F8&lt;&gt;0, G8&lt;&gt;0, H8&lt;&gt;0), 4, "")</f>
        <v/>
      </c>
      <c r="B8" s="64"/>
      <c r="C8" s="64"/>
      <c r="D8" s="75" t="str">
        <f t="shared" si="0"/>
        <v/>
      </c>
      <c r="E8" s="64"/>
      <c r="F8" s="64"/>
      <c r="G8" s="64"/>
      <c r="H8" s="64"/>
    </row>
    <row r="9" spans="1:8">
      <c r="A9" s="79" t="str">
        <f>IF(OR(B9&lt;&gt;0, C9&lt;&gt;0, E9&lt;&gt;0, F9&lt;&gt;0, G9&lt;&gt;0, H9&lt;&gt;0), 5, "")</f>
        <v/>
      </c>
      <c r="B9" s="64"/>
      <c r="C9" s="64"/>
      <c r="D9" s="75" t="str">
        <f t="shared" si="0"/>
        <v/>
      </c>
      <c r="E9" s="64"/>
      <c r="F9" s="64"/>
      <c r="G9" s="64"/>
      <c r="H9" s="64"/>
    </row>
    <row r="10" spans="1:8">
      <c r="A10" s="79" t="str">
        <f>IF(OR(B10&lt;&gt;0, C10&lt;&gt;0, E10&lt;&gt;0, F10&lt;&gt;0, G10&lt;&gt;0, H10&lt;&gt;0), 6, "")</f>
        <v/>
      </c>
      <c r="B10" s="64"/>
      <c r="C10" s="64"/>
      <c r="D10" s="75" t="str">
        <f t="shared" si="0"/>
        <v/>
      </c>
      <c r="E10" s="64"/>
      <c r="F10" s="64"/>
      <c r="G10" s="64"/>
      <c r="H10" s="64"/>
    </row>
    <row r="11" spans="1:8">
      <c r="A11" s="79" t="str">
        <f>IF(OR(B11&lt;&gt;0, C11&lt;&gt;0, E11&lt;&gt;0, F11&lt;&gt;0, G11&lt;&gt;0, H11&lt;&gt;0), 7, "")</f>
        <v/>
      </c>
      <c r="B11" s="64"/>
      <c r="C11" s="64"/>
      <c r="D11" s="75" t="str">
        <f t="shared" si="0"/>
        <v/>
      </c>
      <c r="E11" s="64"/>
      <c r="F11" s="64"/>
      <c r="G11" s="64"/>
      <c r="H11" s="64"/>
    </row>
    <row r="12" spans="1:8">
      <c r="A12" s="79" t="str">
        <f>IF(OR(B12&lt;&gt;0, C12&lt;&gt;0, E12&lt;&gt;0, F12&lt;&gt;0, G12&lt;&gt;0, H12&lt;&gt;0), 8, "")</f>
        <v/>
      </c>
      <c r="B12" s="64"/>
      <c r="C12" s="64"/>
      <c r="D12" s="75" t="str">
        <f t="shared" si="0"/>
        <v/>
      </c>
      <c r="E12" s="64"/>
      <c r="F12" s="64"/>
      <c r="G12" s="64"/>
      <c r="H12" s="64"/>
    </row>
    <row r="13" spans="1:8">
      <c r="A13" s="79" t="str">
        <f>IF(OR(B13&lt;&gt;0, C13&lt;&gt;0, E13&lt;&gt;0, F13&lt;&gt;0, G13&lt;&gt;0, H13&lt;&gt;0), 9, "")</f>
        <v/>
      </c>
      <c r="B13" s="64"/>
      <c r="C13" s="64"/>
      <c r="D13" s="75" t="str">
        <f t="shared" si="0"/>
        <v/>
      </c>
      <c r="E13" s="64"/>
      <c r="F13" s="64"/>
      <c r="G13" s="64"/>
      <c r="H13" s="64"/>
    </row>
    <row r="14" spans="1:8">
      <c r="A14" s="79" t="str">
        <f>IF(OR(B14&lt;&gt;0, C14&lt;&gt;0, E14&lt;&gt;0, F14&lt;&gt;0, G14&lt;&gt;0, H14&lt;&gt;0), 10, "")</f>
        <v/>
      </c>
      <c r="B14" s="64"/>
      <c r="C14" s="64"/>
      <c r="D14" s="75" t="str">
        <f t="shared" si="0"/>
        <v/>
      </c>
      <c r="E14" s="64"/>
      <c r="F14" s="64"/>
      <c r="G14" s="64"/>
      <c r="H14" s="64"/>
    </row>
    <row r="15" spans="1:8">
      <c r="A15" s="79" t="str">
        <f>IF(OR(B15&lt;&gt;0, C15&lt;&gt;0, E15&lt;&gt;0, F15&lt;&gt;0, G15&lt;&gt;0, H15&lt;&gt;0), 11, "")</f>
        <v/>
      </c>
      <c r="B15" s="64"/>
      <c r="C15" s="64"/>
      <c r="D15" s="75" t="str">
        <f t="shared" si="0"/>
        <v/>
      </c>
      <c r="E15" s="64"/>
      <c r="F15" s="64"/>
      <c r="G15" s="64"/>
      <c r="H15" s="64"/>
    </row>
    <row r="16" spans="1:8">
      <c r="A16" s="79" t="str">
        <f>IF(OR(B16&lt;&gt;0, C16&lt;&gt;0, E16&lt;&gt;0, F16&lt;&gt;0, G16&lt;&gt;0, H16&lt;&gt;0), 12, "")</f>
        <v/>
      </c>
      <c r="B16" s="64"/>
      <c r="C16" s="64"/>
      <c r="D16" s="75" t="str">
        <f t="shared" si="0"/>
        <v/>
      </c>
      <c r="E16" s="64"/>
      <c r="F16" s="64"/>
      <c r="G16" s="64"/>
      <c r="H16" s="64"/>
    </row>
    <row r="17" spans="1:8">
      <c r="A17" s="79" t="str">
        <f>IF(OR(B17&lt;&gt;0, C17&lt;&gt;0, E17&lt;&gt;0, F17&lt;&gt;0, G17&lt;&gt;0, H17&lt;&gt;0), 13, "")</f>
        <v/>
      </c>
      <c r="B17" s="64"/>
      <c r="C17" s="64"/>
      <c r="D17" s="75" t="str">
        <f t="shared" si="0"/>
        <v/>
      </c>
      <c r="E17" s="64"/>
      <c r="F17" s="64"/>
      <c r="G17" s="64"/>
      <c r="H17" s="64"/>
    </row>
    <row r="18" spans="1:8">
      <c r="A18" s="79" t="str">
        <f>IF(OR(B18&lt;&gt;0, C18&lt;&gt;0, E18&lt;&gt;0, F18&lt;&gt;0, G18&lt;&gt;0, H18&lt;&gt;0), 14, "")</f>
        <v/>
      </c>
      <c r="B18" s="64"/>
      <c r="C18" s="64"/>
      <c r="D18" s="75" t="str">
        <f t="shared" si="0"/>
        <v/>
      </c>
      <c r="E18" s="64"/>
      <c r="F18" s="64"/>
      <c r="G18" s="64"/>
      <c r="H18" s="64"/>
    </row>
    <row r="19" spans="1:8">
      <c r="A19" s="79" t="str">
        <f>IF(OR(B19&lt;&gt;0, C19&lt;&gt;0, E19&lt;&gt;0, F19&lt;&gt;0, G19&lt;&gt;0, H19&lt;&gt;0), 15, "")</f>
        <v/>
      </c>
      <c r="B19" s="64"/>
      <c r="C19" s="64"/>
      <c r="D19" s="75" t="str">
        <f t="shared" si="0"/>
        <v/>
      </c>
      <c r="E19" s="64"/>
      <c r="F19" s="64"/>
      <c r="G19" s="64"/>
      <c r="H19" s="64"/>
    </row>
  </sheetData>
  <sheetProtection password="CC6D" sheet="1" objects="1" scenarios="1" selectLockedCells="1"/>
  <mergeCells count="6">
    <mergeCell ref="A1:H1"/>
    <mergeCell ref="A3:A4"/>
    <mergeCell ref="B3:B4"/>
    <mergeCell ref="C3:C4"/>
    <mergeCell ref="D3:D4"/>
    <mergeCell ref="E3:H3"/>
  </mergeCells>
  <conditionalFormatting sqref="E5:H19 B5:C19">
    <cfRule type="cellIs" dxfId="8" priority="4" operator="greaterThan">
      <formula>0</formula>
    </cfRule>
  </conditionalFormatting>
  <conditionalFormatting sqref="D5:D19">
    <cfRule type="cellIs" dxfId="7" priority="3" operator="between">
      <formula>0.001</formula>
      <formula>9999999</formula>
    </cfRule>
  </conditionalFormatting>
  <conditionalFormatting sqref="A5:A19">
    <cfRule type="cellIs" dxfId="6" priority="1" operator="between">
      <formula>0</formula>
      <formula>15</formula>
    </cfRule>
  </conditionalFormatting>
  <dataValidations count="2">
    <dataValidation type="decimal" allowBlank="1" showInputMessage="1" showErrorMessage="1" sqref="E5:G19">
      <formula1>0</formula1>
      <formula2>1000000</formula2>
    </dataValidation>
    <dataValidation type="whole" allowBlank="1" showInputMessage="1" showErrorMessage="1" sqref="C5:C19">
      <formula1>1</formula1>
      <formula2>9999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ignoredErrors>
    <ignoredError sqref="A6:A19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I28"/>
  <sheetViews>
    <sheetView view="pageLayout" zoomScale="140" zoomScalePageLayoutView="140" workbookViewId="0">
      <selection activeCell="D27" sqref="D27"/>
    </sheetView>
  </sheetViews>
  <sheetFormatPr defaultRowHeight="15"/>
  <cols>
    <col min="1" max="1" width="11.7109375" style="1" customWidth="1"/>
    <col min="2" max="16384" width="9.140625" style="1"/>
  </cols>
  <sheetData>
    <row r="1" spans="1:9" ht="15.75">
      <c r="A1" s="127" t="s">
        <v>359</v>
      </c>
      <c r="B1" s="127"/>
      <c r="C1" s="127"/>
      <c r="D1" s="127"/>
      <c r="E1" s="127"/>
      <c r="F1" s="127"/>
      <c r="G1" s="127"/>
      <c r="H1" s="127"/>
      <c r="I1" s="127"/>
    </row>
    <row r="2" spans="1:9" ht="15.75">
      <c r="A2" s="76"/>
      <c r="B2" s="76"/>
      <c r="C2" s="76"/>
      <c r="D2" s="76"/>
      <c r="E2" s="76"/>
      <c r="F2" s="76"/>
      <c r="G2" s="76"/>
      <c r="H2" s="76"/>
      <c r="I2" s="76"/>
    </row>
    <row r="3" spans="1:9" ht="15.75">
      <c r="A3" s="130" t="s">
        <v>283</v>
      </c>
      <c r="B3" s="130"/>
      <c r="C3" s="130"/>
      <c r="D3" s="130"/>
      <c r="E3" s="130"/>
      <c r="F3" s="130"/>
      <c r="G3" s="130"/>
      <c r="H3" s="77">
        <v>1</v>
      </c>
      <c r="I3" s="76"/>
    </row>
    <row r="4" spans="1:9" ht="15.75">
      <c r="A4" s="130" t="s">
        <v>284</v>
      </c>
      <c r="B4" s="130"/>
      <c r="C4" s="130"/>
      <c r="D4" s="130"/>
      <c r="E4" s="130"/>
      <c r="F4" s="130"/>
      <c r="G4" s="130"/>
      <c r="H4" s="77">
        <v>0</v>
      </c>
      <c r="I4" s="76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>
      <c r="A6" s="130" t="s">
        <v>273</v>
      </c>
      <c r="B6" s="130"/>
      <c r="C6" s="130"/>
      <c r="D6" s="130"/>
      <c r="E6" s="164" t="s">
        <v>483</v>
      </c>
      <c r="F6" s="164"/>
      <c r="G6" s="164"/>
      <c r="H6" s="164"/>
      <c r="I6" s="164"/>
    </row>
    <row r="7" spans="1:9">
      <c r="A7" s="130" t="s">
        <v>280</v>
      </c>
      <c r="B7" s="130"/>
      <c r="C7" s="130"/>
      <c r="D7" s="77">
        <v>30</v>
      </c>
      <c r="E7" s="3"/>
      <c r="F7" s="3"/>
      <c r="G7" s="3"/>
      <c r="H7" s="3"/>
      <c r="I7" s="3"/>
    </row>
    <row r="8" spans="1:9">
      <c r="A8" s="130" t="s">
        <v>281</v>
      </c>
      <c r="B8" s="130"/>
      <c r="C8" s="130"/>
      <c r="D8" s="77">
        <v>300</v>
      </c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130" t="s">
        <v>274</v>
      </c>
      <c r="B10" s="130"/>
      <c r="C10" s="130"/>
      <c r="D10" s="130"/>
      <c r="E10" s="164" t="s">
        <v>482</v>
      </c>
      <c r="F10" s="164"/>
      <c r="G10" s="164"/>
      <c r="H10" s="164"/>
      <c r="I10" s="164"/>
    </row>
    <row r="11" spans="1:9">
      <c r="A11" s="130" t="s">
        <v>280</v>
      </c>
      <c r="B11" s="130"/>
      <c r="C11" s="130"/>
      <c r="D11" s="77">
        <v>100</v>
      </c>
      <c r="E11" s="3"/>
      <c r="F11" s="3"/>
      <c r="G11" s="3"/>
      <c r="H11" s="3"/>
      <c r="I11" s="3"/>
    </row>
    <row r="12" spans="1:9">
      <c r="A12" s="130" t="s">
        <v>279</v>
      </c>
      <c r="B12" s="130"/>
      <c r="C12" s="130"/>
      <c r="D12" s="77">
        <v>248</v>
      </c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>
      <c r="A14" s="130" t="s">
        <v>275</v>
      </c>
      <c r="B14" s="130"/>
      <c r="C14" s="130"/>
      <c r="D14" s="130"/>
      <c r="E14" s="164"/>
      <c r="F14" s="164"/>
      <c r="G14" s="164"/>
      <c r="H14" s="164"/>
      <c r="I14" s="164"/>
    </row>
    <row r="15" spans="1:9">
      <c r="A15" s="130" t="s">
        <v>280</v>
      </c>
      <c r="B15" s="130"/>
      <c r="C15" s="130"/>
      <c r="D15" s="77">
        <v>29</v>
      </c>
      <c r="E15" s="3"/>
      <c r="F15" s="3"/>
      <c r="G15" s="3"/>
      <c r="H15" s="3"/>
      <c r="I15" s="3"/>
    </row>
    <row r="16" spans="1:9">
      <c r="A16" s="130" t="s">
        <v>279</v>
      </c>
      <c r="B16" s="130"/>
      <c r="C16" s="130"/>
      <c r="D16" s="77">
        <v>32</v>
      </c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130" t="s">
        <v>276</v>
      </c>
      <c r="B18" s="130"/>
      <c r="C18" s="130"/>
      <c r="D18" s="130"/>
      <c r="E18" s="164" t="s">
        <v>484</v>
      </c>
      <c r="F18" s="164"/>
      <c r="G18" s="164"/>
      <c r="H18" s="164"/>
      <c r="I18" s="164"/>
    </row>
    <row r="19" spans="1:9">
      <c r="A19" s="130" t="s">
        <v>280</v>
      </c>
      <c r="B19" s="130"/>
      <c r="C19" s="130"/>
      <c r="D19" s="77">
        <v>90</v>
      </c>
      <c r="E19" s="3"/>
      <c r="F19" s="3"/>
      <c r="G19" s="3"/>
      <c r="H19" s="3"/>
      <c r="I19" s="3"/>
    </row>
    <row r="20" spans="1:9">
      <c r="A20" s="130" t="s">
        <v>279</v>
      </c>
      <c r="B20" s="130"/>
      <c r="C20" s="130"/>
      <c r="D20" s="77">
        <v>29</v>
      </c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130" t="s">
        <v>277</v>
      </c>
      <c r="B22" s="130"/>
      <c r="C22" s="130"/>
      <c r="D22" s="130"/>
      <c r="E22" s="164"/>
      <c r="F22" s="164"/>
      <c r="G22" s="164"/>
      <c r="H22" s="164"/>
      <c r="I22" s="164"/>
    </row>
    <row r="23" spans="1:9">
      <c r="A23" s="130" t="s">
        <v>280</v>
      </c>
      <c r="B23" s="130"/>
      <c r="C23" s="130"/>
      <c r="D23" s="77"/>
      <c r="E23" s="3"/>
      <c r="F23" s="3"/>
      <c r="G23" s="3"/>
      <c r="H23" s="3"/>
      <c r="I23" s="3"/>
    </row>
    <row r="24" spans="1:9">
      <c r="A24" s="130" t="s">
        <v>279</v>
      </c>
      <c r="B24" s="130"/>
      <c r="C24" s="130"/>
      <c r="D24" s="77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130" t="s">
        <v>278</v>
      </c>
      <c r="B26" s="130"/>
      <c r="C26" s="130"/>
      <c r="D26" s="130"/>
      <c r="E26" s="164"/>
      <c r="F26" s="164"/>
      <c r="G26" s="164"/>
      <c r="H26" s="164"/>
      <c r="I26" s="164"/>
    </row>
    <row r="27" spans="1:9">
      <c r="A27" s="130" t="s">
        <v>282</v>
      </c>
      <c r="B27" s="130"/>
      <c r="C27" s="130"/>
      <c r="D27" s="77"/>
      <c r="E27" s="3"/>
      <c r="F27" s="3"/>
      <c r="G27" s="3"/>
      <c r="H27" s="3"/>
      <c r="I27" s="3"/>
    </row>
    <row r="28" spans="1:9">
      <c r="A28" s="130" t="s">
        <v>279</v>
      </c>
      <c r="B28" s="130"/>
      <c r="C28" s="130"/>
      <c r="D28" s="77"/>
      <c r="E28" s="3"/>
      <c r="F28" s="3"/>
      <c r="G28" s="3"/>
      <c r="H28" s="3"/>
      <c r="I28" s="3"/>
    </row>
  </sheetData>
  <sheetProtection password="CC6D" sheet="1" objects="1" scenarios="1" selectLockedCells="1"/>
  <mergeCells count="27">
    <mergeCell ref="A24:C24"/>
    <mergeCell ref="A26:D26"/>
    <mergeCell ref="A27:C27"/>
    <mergeCell ref="A28:C28"/>
    <mergeCell ref="E6:I6"/>
    <mergeCell ref="E10:I10"/>
    <mergeCell ref="E14:I14"/>
    <mergeCell ref="E26:I26"/>
    <mergeCell ref="E22:I22"/>
    <mergeCell ref="E18:I18"/>
    <mergeCell ref="A18:D18"/>
    <mergeCell ref="A19:C19"/>
    <mergeCell ref="A20:C20"/>
    <mergeCell ref="A22:D22"/>
    <mergeCell ref="A23:C23"/>
    <mergeCell ref="A11:C11"/>
    <mergeCell ref="A12:C12"/>
    <mergeCell ref="A15:C15"/>
    <mergeCell ref="A16:C16"/>
    <mergeCell ref="A14:D14"/>
    <mergeCell ref="A1:I1"/>
    <mergeCell ref="A6:D6"/>
    <mergeCell ref="A7:C7"/>
    <mergeCell ref="A8:C8"/>
    <mergeCell ref="A10:D10"/>
    <mergeCell ref="A4:G4"/>
    <mergeCell ref="A3:G3"/>
  </mergeCells>
  <dataValidations count="3">
    <dataValidation type="whole" allowBlank="1" showInputMessage="1" showErrorMessage="1" sqref="H3:H4">
      <formula1>0</formula1>
      <formula2>1</formula2>
    </dataValidation>
    <dataValidation type="whole" allowBlank="1" showInputMessage="1" showErrorMessage="1" sqref="D27:D28 D23:D24 D19:D20 D15:D16 D11:D12 D7">
      <formula1>0</formula1>
      <formula2>10000</formula2>
    </dataValidation>
    <dataValidation type="whole" allowBlank="1" showInputMessage="1" showErrorMessage="1" sqref="D8">
      <formula1>0</formula1>
      <formula2>100000</formula2>
    </dataValidation>
  </dataValidations>
  <pageMargins left="0.7" right="0.7" top="0.75" bottom="0.75" header="0.3" footer="0.3"/>
  <pageSetup paperSize="9" orientation="portrait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47"/>
  <sheetViews>
    <sheetView view="pageLayout" topLeftCell="A13" workbookViewId="0">
      <selection activeCell="A34" sqref="A34"/>
    </sheetView>
  </sheetViews>
  <sheetFormatPr defaultRowHeight="15"/>
  <cols>
    <col min="1" max="1" width="35.140625" customWidth="1"/>
    <col min="2" max="2" width="7.42578125" customWidth="1"/>
    <col min="3" max="3" width="19.85546875" customWidth="1"/>
    <col min="4" max="4" width="11.7109375" customWidth="1"/>
    <col min="5" max="5" width="12.85546875" customWidth="1"/>
  </cols>
  <sheetData>
    <row r="1" spans="1:9" ht="30" customHeight="1">
      <c r="A1" s="144" t="s">
        <v>170</v>
      </c>
      <c r="B1" s="144"/>
      <c r="C1" s="144"/>
      <c r="D1" s="144"/>
      <c r="E1" s="144"/>
      <c r="F1" s="5"/>
      <c r="G1" s="5"/>
      <c r="H1" s="5"/>
      <c r="I1" s="5"/>
    </row>
    <row r="2" spans="1:9" ht="15" customHeight="1">
      <c r="A2" s="5"/>
      <c r="B2" s="5"/>
      <c r="C2" s="5"/>
      <c r="D2" s="5"/>
      <c r="E2" s="5"/>
      <c r="F2" s="5"/>
      <c r="G2" s="5"/>
      <c r="H2" s="5"/>
      <c r="I2" s="5"/>
    </row>
    <row r="3" spans="1:9" ht="45">
      <c r="A3" s="100" t="s">
        <v>1</v>
      </c>
      <c r="B3" s="100" t="s">
        <v>2</v>
      </c>
      <c r="C3" s="100" t="s">
        <v>74</v>
      </c>
      <c r="D3" s="100" t="s">
        <v>75</v>
      </c>
      <c r="E3" s="100" t="s">
        <v>76</v>
      </c>
    </row>
    <row r="4" spans="1:9">
      <c r="A4" s="101">
        <v>1</v>
      </c>
      <c r="B4" s="101">
        <v>2</v>
      </c>
      <c r="C4" s="101">
        <v>3</v>
      </c>
      <c r="D4" s="101">
        <v>4</v>
      </c>
      <c r="E4" s="101">
        <v>5</v>
      </c>
    </row>
    <row r="5" spans="1:9">
      <c r="A5" s="96" t="s">
        <v>9</v>
      </c>
      <c r="B5" s="102" t="s">
        <v>32</v>
      </c>
      <c r="C5" s="103">
        <f>'1'!E13+'1'!I13+'1'!M13</f>
        <v>76</v>
      </c>
      <c r="D5" s="103">
        <f>'1'!C13+'1'!G13+'1'!K13</f>
        <v>16</v>
      </c>
      <c r="E5" s="103">
        <f>'1'!F13+'1'!J13+'1'!N13</f>
        <v>16</v>
      </c>
    </row>
    <row r="6" spans="1:9">
      <c r="A6" s="96" t="s">
        <v>10</v>
      </c>
      <c r="B6" s="102"/>
      <c r="C6" s="103">
        <f>'1'!E14+'1'!I14+'1'!M14</f>
        <v>74</v>
      </c>
      <c r="D6" s="103">
        <f>'1'!C14+'1'!G14+'1'!K14</f>
        <v>21</v>
      </c>
      <c r="E6" s="103">
        <f>'1'!F14+'1'!J14+'1'!N14</f>
        <v>22</v>
      </c>
    </row>
    <row r="7" spans="1:9">
      <c r="A7" s="98" t="s">
        <v>82</v>
      </c>
      <c r="B7" s="102" t="s">
        <v>31</v>
      </c>
      <c r="C7" s="103">
        <f>'1'!E15+'1'!I15+'1'!M15</f>
        <v>34</v>
      </c>
      <c r="D7" s="103">
        <f>'1'!C15+'1'!G15+'1'!K15</f>
        <v>10</v>
      </c>
      <c r="E7" s="103">
        <f>'1'!F15+'1'!J15+'1'!N15</f>
        <v>6</v>
      </c>
    </row>
    <row r="8" spans="1:9">
      <c r="A8" s="98" t="s">
        <v>83</v>
      </c>
      <c r="B8" s="102" t="s">
        <v>33</v>
      </c>
      <c r="C8" s="103">
        <f>'1'!E16+'1'!I16+'1'!M16</f>
        <v>0</v>
      </c>
      <c r="D8" s="103">
        <f>'1'!C16+'1'!G16+'1'!K16</f>
        <v>0</v>
      </c>
      <c r="E8" s="103">
        <f>'1'!F16+'1'!J16+'1'!N16</f>
        <v>0</v>
      </c>
    </row>
    <row r="9" spans="1:9">
      <c r="A9" s="98" t="s">
        <v>84</v>
      </c>
      <c r="B9" s="102" t="s">
        <v>34</v>
      </c>
      <c r="C9" s="103">
        <f>'1'!E17+'1'!I17+'1'!M17</f>
        <v>19</v>
      </c>
      <c r="D9" s="103">
        <f>'1'!C17+'1'!G17+'1'!K17</f>
        <v>3</v>
      </c>
      <c r="E9" s="103">
        <f>'1'!F17+'1'!J17+'1'!N17</f>
        <v>5</v>
      </c>
    </row>
    <row r="10" spans="1:9">
      <c r="A10" s="98" t="s">
        <v>85</v>
      </c>
      <c r="B10" s="102" t="s">
        <v>35</v>
      </c>
      <c r="C10" s="103">
        <f>'1'!E18+'1'!I18+'1'!M18</f>
        <v>4</v>
      </c>
      <c r="D10" s="103">
        <f>'1'!C18+'1'!G18+'1'!K18</f>
        <v>2</v>
      </c>
      <c r="E10" s="103">
        <f>'1'!F18+'1'!J18+'1'!N18</f>
        <v>0</v>
      </c>
    </row>
    <row r="11" spans="1:9">
      <c r="A11" s="98" t="s">
        <v>86</v>
      </c>
      <c r="B11" s="102" t="s">
        <v>36</v>
      </c>
      <c r="C11" s="103">
        <f>'1'!E19+'1'!I19+'1'!M19</f>
        <v>17</v>
      </c>
      <c r="D11" s="103">
        <f>'1'!C19+'1'!G19+'1'!K19</f>
        <v>6</v>
      </c>
      <c r="E11" s="103">
        <f>'1'!F19+'1'!J19+'1'!N19</f>
        <v>11</v>
      </c>
    </row>
    <row r="12" spans="1:9">
      <c r="A12" s="98" t="s">
        <v>87</v>
      </c>
      <c r="B12" s="102" t="s">
        <v>37</v>
      </c>
      <c r="C12" s="103">
        <f>'1'!E20+'1'!I20+'1'!M20</f>
        <v>0</v>
      </c>
      <c r="D12" s="103">
        <f>'1'!C20+'1'!G20+'1'!K20</f>
        <v>0</v>
      </c>
      <c r="E12" s="103">
        <f>'1'!F20+'1'!J20+'1'!N20</f>
        <v>0</v>
      </c>
    </row>
    <row r="13" spans="1:9">
      <c r="A13" s="98" t="s">
        <v>88</v>
      </c>
      <c r="B13" s="102" t="s">
        <v>38</v>
      </c>
      <c r="C13" s="103">
        <f>'1'!E21+'1'!I21+'1'!M21</f>
        <v>0</v>
      </c>
      <c r="D13" s="103">
        <f>'1'!C21+'1'!G21+'1'!K21</f>
        <v>0</v>
      </c>
      <c r="E13" s="103">
        <f>'1'!F21+'1'!J21+'1'!N21</f>
        <v>0</v>
      </c>
    </row>
    <row r="14" spans="1:9">
      <c r="A14" s="96" t="s">
        <v>11</v>
      </c>
      <c r="B14" s="102"/>
      <c r="C14" s="103">
        <f>'1'!E22+'1'!I22+'1'!M22</f>
        <v>0</v>
      </c>
      <c r="D14" s="103">
        <f>'1'!C22+'1'!G22+'1'!K22</f>
        <v>0</v>
      </c>
      <c r="E14" s="103">
        <f>'1'!F22+'1'!J22+'1'!N22</f>
        <v>0</v>
      </c>
    </row>
    <row r="15" spans="1:9">
      <c r="A15" s="98" t="s">
        <v>89</v>
      </c>
      <c r="B15" s="102" t="s">
        <v>39</v>
      </c>
      <c r="C15" s="103">
        <f>'1'!E23+'1'!I23+'1'!M23</f>
        <v>0</v>
      </c>
      <c r="D15" s="103">
        <f>'1'!C23+'1'!G23+'1'!K23</f>
        <v>0</v>
      </c>
      <c r="E15" s="103">
        <f>'1'!F23+'1'!J23+'1'!N23</f>
        <v>0</v>
      </c>
    </row>
    <row r="16" spans="1:9">
      <c r="A16" s="98" t="s">
        <v>90</v>
      </c>
      <c r="B16" s="102" t="s">
        <v>40</v>
      </c>
      <c r="C16" s="103">
        <f>'1'!E24+'1'!I24+'1'!M24</f>
        <v>0</v>
      </c>
      <c r="D16" s="103">
        <f>'1'!C24+'1'!G24+'1'!K24</f>
        <v>0</v>
      </c>
      <c r="E16" s="103">
        <f>'1'!F24+'1'!J24+'1'!N24</f>
        <v>0</v>
      </c>
    </row>
    <row r="17" spans="1:5">
      <c r="A17" s="98" t="s">
        <v>91</v>
      </c>
      <c r="B17" s="102" t="s">
        <v>41</v>
      </c>
      <c r="C17" s="103">
        <f>'1'!E25+'1'!I25+'1'!M25</f>
        <v>0</v>
      </c>
      <c r="D17" s="103">
        <f>'1'!C25+'1'!G25+'1'!K25</f>
        <v>0</v>
      </c>
      <c r="E17" s="103">
        <f>'1'!F25+'1'!J25+'1'!N25</f>
        <v>0</v>
      </c>
    </row>
    <row r="18" spans="1:5">
      <c r="A18" s="98" t="s">
        <v>92</v>
      </c>
      <c r="B18" s="102" t="s">
        <v>42</v>
      </c>
      <c r="C18" s="103">
        <f>'1'!E26+'1'!I26+'1'!M26</f>
        <v>0</v>
      </c>
      <c r="D18" s="103">
        <f>'1'!C26+'1'!G26+'1'!K26</f>
        <v>0</v>
      </c>
      <c r="E18" s="103">
        <f>'1'!F26+'1'!J26+'1'!N26</f>
        <v>0</v>
      </c>
    </row>
    <row r="19" spans="1:5">
      <c r="A19" s="98" t="s">
        <v>93</v>
      </c>
      <c r="B19" s="102" t="s">
        <v>43</v>
      </c>
      <c r="C19" s="103">
        <f>'1'!E27+'1'!I27+'1'!M27</f>
        <v>0</v>
      </c>
      <c r="D19" s="103">
        <f>'1'!C27+'1'!G27+'1'!K27</f>
        <v>0</v>
      </c>
      <c r="E19" s="103">
        <f>'1'!F27+'1'!J27+'1'!N27</f>
        <v>0</v>
      </c>
    </row>
    <row r="20" spans="1:5">
      <c r="A20" s="98" t="s">
        <v>94</v>
      </c>
      <c r="B20" s="102" t="s">
        <v>44</v>
      </c>
      <c r="C20" s="103">
        <f>'1'!E28+'1'!I28+'1'!M28</f>
        <v>0</v>
      </c>
      <c r="D20" s="103">
        <f>'1'!C28+'1'!G28+'1'!K28</f>
        <v>0</v>
      </c>
      <c r="E20" s="103">
        <f>'1'!F28+'1'!J28+'1'!N28</f>
        <v>0</v>
      </c>
    </row>
    <row r="21" spans="1:5">
      <c r="A21" s="98" t="s">
        <v>95</v>
      </c>
      <c r="B21" s="102" t="s">
        <v>45</v>
      </c>
      <c r="C21" s="103">
        <f>'1'!E29+'1'!I29+'1'!M29</f>
        <v>0</v>
      </c>
      <c r="D21" s="103">
        <f>'1'!C29+'1'!G29+'1'!K29</f>
        <v>0</v>
      </c>
      <c r="E21" s="103">
        <f>'1'!F29+'1'!J29+'1'!N29</f>
        <v>0</v>
      </c>
    </row>
    <row r="22" spans="1:5">
      <c r="A22" s="98" t="s">
        <v>96</v>
      </c>
      <c r="B22" s="102" t="s">
        <v>46</v>
      </c>
      <c r="C22" s="103">
        <f>'1'!E30+'1'!I30+'1'!M30</f>
        <v>0</v>
      </c>
      <c r="D22" s="103">
        <f>'1'!C30+'1'!G30+'1'!K30</f>
        <v>0</v>
      </c>
      <c r="E22" s="103">
        <f>'1'!F30+'1'!J30+'1'!N30</f>
        <v>0</v>
      </c>
    </row>
    <row r="23" spans="1:5">
      <c r="A23" s="98" t="s">
        <v>97</v>
      </c>
      <c r="B23" s="102" t="s">
        <v>47</v>
      </c>
      <c r="C23" s="103">
        <f>'1'!E31+'1'!I31+'1'!M31</f>
        <v>0</v>
      </c>
      <c r="D23" s="103">
        <f>'1'!C31+'1'!G31+'1'!K31</f>
        <v>0</v>
      </c>
      <c r="E23" s="103">
        <f>'1'!F31+'1'!J31+'1'!N31</f>
        <v>0</v>
      </c>
    </row>
    <row r="24" spans="1:5">
      <c r="A24" s="98" t="s">
        <v>98</v>
      </c>
      <c r="B24" s="102" t="s">
        <v>48</v>
      </c>
      <c r="C24" s="103">
        <f>'1'!E32+'1'!I32+'1'!M32</f>
        <v>0</v>
      </c>
      <c r="D24" s="103">
        <f>'1'!C32+'1'!G32+'1'!K32</f>
        <v>0</v>
      </c>
      <c r="E24" s="103">
        <f>'1'!F32+'1'!J32+'1'!N32</f>
        <v>0</v>
      </c>
    </row>
    <row r="25" spans="1:5">
      <c r="A25" s="96" t="s">
        <v>12</v>
      </c>
      <c r="B25" s="102"/>
      <c r="C25" s="103">
        <f>'1'!E33+'1'!I33+'1'!M33</f>
        <v>8</v>
      </c>
      <c r="D25" s="103">
        <f>'1'!C33+'1'!G33+'1'!K33</f>
        <v>4</v>
      </c>
      <c r="E25" s="103">
        <f>'1'!F33+'1'!J33+'1'!N33</f>
        <v>0</v>
      </c>
    </row>
    <row r="26" spans="1:5">
      <c r="A26" s="98" t="s">
        <v>99</v>
      </c>
      <c r="B26" s="102" t="s">
        <v>49</v>
      </c>
      <c r="C26" s="103">
        <f>'1'!E34+'1'!I34+'1'!M34</f>
        <v>8</v>
      </c>
      <c r="D26" s="103">
        <f>'1'!C34+'1'!G34+'1'!K34</f>
        <v>4</v>
      </c>
      <c r="E26" s="103">
        <f>'1'!F34+'1'!J34+'1'!N34</f>
        <v>0</v>
      </c>
    </row>
    <row r="27" spans="1:5">
      <c r="A27" s="98" t="s">
        <v>100</v>
      </c>
      <c r="B27" s="102" t="s">
        <v>50</v>
      </c>
      <c r="C27" s="103">
        <f>'1'!E35+'1'!I35+'1'!M35</f>
        <v>0</v>
      </c>
      <c r="D27" s="103">
        <f>'1'!C35+'1'!G35+'1'!K35</f>
        <v>0</v>
      </c>
      <c r="E27" s="103">
        <f>'1'!F35+'1'!J35+'1'!N35</f>
        <v>0</v>
      </c>
    </row>
    <row r="28" spans="1:5">
      <c r="A28" s="98" t="s">
        <v>101</v>
      </c>
      <c r="B28" s="102" t="s">
        <v>51</v>
      </c>
      <c r="C28" s="103">
        <f>'1'!E36+'1'!I36+'1'!M36</f>
        <v>0</v>
      </c>
      <c r="D28" s="103">
        <f>'1'!C36+'1'!G36+'1'!K36</f>
        <v>0</v>
      </c>
      <c r="E28" s="103">
        <f>'1'!F36+'1'!J36+'1'!N36</f>
        <v>0</v>
      </c>
    </row>
    <row r="29" spans="1:5">
      <c r="A29" s="98" t="s">
        <v>102</v>
      </c>
      <c r="B29" s="102" t="s">
        <v>52</v>
      </c>
      <c r="C29" s="103">
        <f>'1'!E37+'1'!I37+'1'!M37</f>
        <v>0</v>
      </c>
      <c r="D29" s="103">
        <f>'1'!C37+'1'!G37+'1'!K37</f>
        <v>0</v>
      </c>
      <c r="E29" s="103">
        <f>'1'!F37+'1'!J37+'1'!N37</f>
        <v>0</v>
      </c>
    </row>
    <row r="30" spans="1:5">
      <c r="A30" s="96" t="s">
        <v>13</v>
      </c>
      <c r="B30" s="102"/>
      <c r="C30" s="103">
        <f>'1'!I38+'1'!M38</f>
        <v>12</v>
      </c>
      <c r="D30" s="103">
        <f>'1'!G38+'1'!K38</f>
        <v>1</v>
      </c>
      <c r="E30" s="103">
        <f>'1'!J38+'1'!N38</f>
        <v>1</v>
      </c>
    </row>
    <row r="31" spans="1:5">
      <c r="A31" s="98" t="s">
        <v>103</v>
      </c>
      <c r="B31" s="102" t="s">
        <v>53</v>
      </c>
      <c r="C31" s="103">
        <f>'1'!I39+'1'!M39</f>
        <v>12</v>
      </c>
      <c r="D31" s="103">
        <f>'1'!G39+'1'!K39</f>
        <v>1</v>
      </c>
      <c r="E31" s="103">
        <f>'1'!J39+'1'!N39</f>
        <v>1</v>
      </c>
    </row>
    <row r="32" spans="1:5">
      <c r="A32" s="98" t="s">
        <v>104</v>
      </c>
      <c r="B32" s="102" t="s">
        <v>54</v>
      </c>
      <c r="C32" s="103">
        <f>'1'!I40+'1'!M40</f>
        <v>0</v>
      </c>
      <c r="D32" s="103">
        <f>'1'!G40+'1'!K40</f>
        <v>0</v>
      </c>
      <c r="E32" s="103">
        <f>'1'!J40+'1'!N40</f>
        <v>0</v>
      </c>
    </row>
    <row r="33" spans="1:5">
      <c r="A33" s="96" t="s">
        <v>14</v>
      </c>
      <c r="B33" s="102" t="s">
        <v>55</v>
      </c>
      <c r="C33" s="103">
        <f>'1'!E41+'1'!I41+'1'!M41</f>
        <v>0</v>
      </c>
      <c r="D33" s="103">
        <f>'1'!C41+'1'!G41+'1'!K41</f>
        <v>0</v>
      </c>
      <c r="E33" s="103">
        <f>'1'!F41+'1'!J41+'1'!N41</f>
        <v>0</v>
      </c>
    </row>
    <row r="34" spans="1:5">
      <c r="A34" s="96" t="s">
        <v>15</v>
      </c>
      <c r="B34" s="102" t="s">
        <v>56</v>
      </c>
      <c r="C34" s="103">
        <f>'1'!E42+'1'!I42+'1'!M42</f>
        <v>80</v>
      </c>
      <c r="D34" s="103">
        <f>'1'!C42+'1'!G42+'1'!K42</f>
        <v>27</v>
      </c>
      <c r="E34" s="103">
        <f>'1'!F42+'1'!J42+'1'!N42</f>
        <v>16</v>
      </c>
    </row>
    <row r="35" spans="1:5">
      <c r="A35" s="96" t="s">
        <v>16</v>
      </c>
      <c r="B35" s="102" t="s">
        <v>57</v>
      </c>
      <c r="C35" s="103">
        <f>'1'!E43+'1'!I43+'1'!M43</f>
        <v>0</v>
      </c>
      <c r="D35" s="103">
        <f>'1'!C43+'1'!G43+'1'!K43</f>
        <v>0</v>
      </c>
      <c r="E35" s="103">
        <f>'1'!F43+'1'!J43+'1'!N43</f>
        <v>0</v>
      </c>
    </row>
    <row r="36" spans="1:5">
      <c r="A36" s="96" t="s">
        <v>17</v>
      </c>
      <c r="B36" s="102" t="s">
        <v>58</v>
      </c>
      <c r="C36" s="103">
        <f>'1'!E44+'1'!I44+'1'!M44</f>
        <v>0</v>
      </c>
      <c r="D36" s="103">
        <f>'1'!C44+'1'!G44+'1'!K44</f>
        <v>0</v>
      </c>
      <c r="E36" s="103">
        <f>'1'!F44+'1'!J44+'1'!N44</f>
        <v>0</v>
      </c>
    </row>
    <row r="37" spans="1:5">
      <c r="A37" s="96" t="s">
        <v>18</v>
      </c>
      <c r="B37" s="102" t="s">
        <v>59</v>
      </c>
      <c r="C37" s="103">
        <f>'1'!E45+'1'!I45+'1'!M45</f>
        <v>0</v>
      </c>
      <c r="D37" s="103">
        <f>'1'!C45+'1'!G45+'1'!K45</f>
        <v>0</v>
      </c>
      <c r="E37" s="103">
        <f>'1'!F45+'1'!J45+'1'!N45</f>
        <v>0</v>
      </c>
    </row>
    <row r="38" spans="1:5">
      <c r="A38" s="96" t="s">
        <v>19</v>
      </c>
      <c r="B38" s="102" t="s">
        <v>60</v>
      </c>
      <c r="C38" s="103">
        <f>'1'!E46+'1'!I46+'1'!M46</f>
        <v>0</v>
      </c>
      <c r="D38" s="103">
        <f>'1'!C46+'1'!G46+'1'!K46</f>
        <v>0</v>
      </c>
      <c r="E38" s="103">
        <f>'1'!F46+'1'!J46+'1'!N46</f>
        <v>0</v>
      </c>
    </row>
    <row r="39" spans="1:5">
      <c r="A39" s="96" t="s">
        <v>22</v>
      </c>
      <c r="B39" s="102" t="s">
        <v>63</v>
      </c>
      <c r="C39" s="103">
        <f>'1'!E49+'1'!I49+'1'!M49</f>
        <v>0</v>
      </c>
      <c r="D39" s="103">
        <f>'1'!C49+'1'!G49+'1'!K49</f>
        <v>0</v>
      </c>
      <c r="E39" s="103">
        <f>'1'!F49+'1'!J49+'1'!N49</f>
        <v>0</v>
      </c>
    </row>
    <row r="40" spans="1:5">
      <c r="A40" s="96" t="s">
        <v>20</v>
      </c>
      <c r="B40" s="102" t="s">
        <v>64</v>
      </c>
      <c r="C40" s="103">
        <f>'1'!E50+'1'!I50+'1'!M50</f>
        <v>0</v>
      </c>
      <c r="D40" s="103">
        <f>'1'!C50+'1'!G50+'1'!K50</f>
        <v>0</v>
      </c>
      <c r="E40" s="103">
        <f>'1'!F50+'1'!J50+'1'!N50</f>
        <v>0</v>
      </c>
    </row>
    <row r="41" spans="1:5">
      <c r="A41" s="96" t="s">
        <v>24</v>
      </c>
      <c r="B41" s="102" t="s">
        <v>65</v>
      </c>
      <c r="C41" s="103">
        <f>'1'!E51+'1'!I51+'1'!M51</f>
        <v>0</v>
      </c>
      <c r="D41" s="103">
        <f>'1'!C51+'1'!G51+'1'!K51</f>
        <v>0</v>
      </c>
      <c r="E41" s="103">
        <f>'1'!F51+'1'!J51+'1'!N51</f>
        <v>0</v>
      </c>
    </row>
    <row r="42" spans="1:5">
      <c r="A42" s="96" t="s">
        <v>26</v>
      </c>
      <c r="B42" s="102" t="s">
        <v>67</v>
      </c>
      <c r="C42" s="103">
        <f>'1'!I53+'1'!M53</f>
        <v>0</v>
      </c>
      <c r="D42" s="103">
        <f>'1'!G53+'1'!K53</f>
        <v>0</v>
      </c>
      <c r="E42" s="103">
        <f>'1'!J53+'1'!N53</f>
        <v>0</v>
      </c>
    </row>
    <row r="43" spans="1:5">
      <c r="A43" s="96" t="s">
        <v>27</v>
      </c>
      <c r="B43" s="102" t="s">
        <v>68</v>
      </c>
      <c r="C43" s="103">
        <f>'1'!I54+'1'!M54</f>
        <v>16</v>
      </c>
      <c r="D43" s="103">
        <f>'1'!G54+'1'!K54</f>
        <v>6</v>
      </c>
      <c r="E43" s="103">
        <f>'1'!J54+'1'!N54</f>
        <v>10</v>
      </c>
    </row>
    <row r="44" spans="1:5">
      <c r="A44" s="96" t="s">
        <v>28</v>
      </c>
      <c r="B44" s="102" t="s">
        <v>69</v>
      </c>
      <c r="C44" s="103">
        <f>'1'!I55+'1'!M55</f>
        <v>0</v>
      </c>
      <c r="D44" s="103">
        <f>'1'!G55+'1'!K55</f>
        <v>0</v>
      </c>
      <c r="E44" s="103">
        <f>'1'!J55+'1'!N55</f>
        <v>0</v>
      </c>
    </row>
    <row r="45" spans="1:5">
      <c r="A45" s="96" t="s">
        <v>29</v>
      </c>
      <c r="B45" s="102" t="s">
        <v>70</v>
      </c>
      <c r="C45" s="103">
        <f>'1'!I56+'1'!M56</f>
        <v>0</v>
      </c>
      <c r="D45" s="103">
        <f>'1'!G56+'1'!K56</f>
        <v>0</v>
      </c>
      <c r="E45" s="103">
        <f>'1'!J56+'1'!N56</f>
        <v>0</v>
      </c>
    </row>
    <row r="46" spans="1:5">
      <c r="A46" s="96" t="s">
        <v>73</v>
      </c>
      <c r="B46" s="102" t="s">
        <v>71</v>
      </c>
      <c r="C46" s="103">
        <f>'1'!I57+'1'!M57</f>
        <v>70</v>
      </c>
      <c r="D46" s="103">
        <f>'1'!G57+'1'!K57</f>
        <v>50</v>
      </c>
      <c r="E46" s="103">
        <f>'1'!J57+'1'!N57</f>
        <v>55</v>
      </c>
    </row>
    <row r="47" spans="1:5">
      <c r="A47" s="145" t="s">
        <v>30</v>
      </c>
      <c r="B47" s="145"/>
      <c r="C47" s="104">
        <f>'1'!E58+'1'!I58+'1'!M58</f>
        <v>336</v>
      </c>
      <c r="D47" s="104">
        <f>'1'!C58+'1'!G58+'1'!K58</f>
        <v>125</v>
      </c>
      <c r="E47" s="104">
        <f>'1'!F58+'1'!J58+'1'!N58</f>
        <v>120</v>
      </c>
    </row>
  </sheetData>
  <sheetProtection password="CC6D" sheet="1" objects="1" scenarios="1" selectLockedCells="1"/>
  <mergeCells count="2">
    <mergeCell ref="A1:E1"/>
    <mergeCell ref="A47:B47"/>
  </mergeCells>
  <pageMargins left="0.7" right="0.7" top="0.75" bottom="0.75" header="0.3" footer="0.3"/>
  <pageSetup paperSize="9" orientation="portrait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ignoredErrors>
    <ignoredError sqref="B40:B46 B5:B39" numberStoredAsText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3"/>
  <sheetViews>
    <sheetView view="pageLayout" workbookViewId="0">
      <selection activeCell="C9" sqref="C9"/>
    </sheetView>
  </sheetViews>
  <sheetFormatPr defaultRowHeight="15"/>
  <cols>
    <col min="1" max="1" width="5" style="1" customWidth="1"/>
    <col min="2" max="3" width="48.5703125" style="1" customWidth="1"/>
    <col min="4" max="4" width="15.5703125" style="1" customWidth="1"/>
    <col min="5" max="5" width="13.28515625" style="1" customWidth="1"/>
    <col min="6" max="16384" width="9.140625" style="1"/>
  </cols>
  <sheetData>
    <row r="1" spans="1:5" ht="15.75">
      <c r="A1" s="127" t="s">
        <v>360</v>
      </c>
      <c r="B1" s="127"/>
      <c r="C1" s="127"/>
      <c r="D1" s="127"/>
      <c r="E1" s="127"/>
    </row>
    <row r="3" spans="1:5" ht="30" customHeight="1">
      <c r="A3" s="87" t="s">
        <v>180</v>
      </c>
      <c r="B3" s="87" t="s">
        <v>315</v>
      </c>
      <c r="C3" s="87" t="s">
        <v>316</v>
      </c>
      <c r="D3" s="87" t="s">
        <v>317</v>
      </c>
      <c r="E3" s="87" t="s">
        <v>318</v>
      </c>
    </row>
    <row r="4" spans="1:5" ht="30">
      <c r="A4" s="86">
        <f>IF(OR(B4&lt;&gt;0, C4&lt;&gt;0, D4&lt;&gt;0, E4&lt;&gt;0), 1, "")</f>
        <v>1</v>
      </c>
      <c r="B4" s="65" t="s">
        <v>486</v>
      </c>
      <c r="C4" s="65" t="s">
        <v>485</v>
      </c>
      <c r="D4" s="64"/>
      <c r="E4" s="64">
        <v>17</v>
      </c>
    </row>
    <row r="5" spans="1:5">
      <c r="A5" s="86" t="str">
        <f>IF(OR(B5&lt;&gt;0, C5&lt;&gt;0, D5&lt;&gt;0, E5&lt;&gt;0), 2, "")</f>
        <v/>
      </c>
      <c r="B5" s="65"/>
      <c r="C5" s="65"/>
      <c r="D5" s="64"/>
      <c r="E5" s="64"/>
    </row>
    <row r="6" spans="1:5">
      <c r="A6" s="86" t="str">
        <f>IF(OR(B6&lt;&gt;0, C6&lt;&gt;0, D6&lt;&gt;0, E6&lt;&gt;0), 3, "")</f>
        <v/>
      </c>
      <c r="B6" s="65"/>
      <c r="C6" s="65"/>
      <c r="D6" s="64"/>
      <c r="E6" s="64"/>
    </row>
    <row r="7" spans="1:5">
      <c r="A7" s="86" t="str">
        <f>IF(OR(B7&lt;&gt;0, C7&lt;&gt;0, D7&lt;&gt;0, E7&lt;&gt;0), 4, "")</f>
        <v/>
      </c>
      <c r="B7" s="65"/>
      <c r="C7" s="65"/>
      <c r="D7" s="64"/>
      <c r="E7" s="64"/>
    </row>
    <row r="8" spans="1:5">
      <c r="A8" s="86" t="str">
        <f>IF(OR(B8&lt;&gt;0, C8&lt;&gt;0, D8&lt;&gt;0, E8&lt;&gt;0), 5, "")</f>
        <v/>
      </c>
      <c r="B8" s="65"/>
      <c r="C8" s="65"/>
      <c r="D8" s="64"/>
      <c r="E8" s="64"/>
    </row>
    <row r="9" spans="1:5">
      <c r="A9" s="86" t="str">
        <f>IF(OR(B9&lt;&gt;0, C9&lt;&gt;0, D9&lt;&gt;0, E9&lt;&gt;0), 6, "")</f>
        <v/>
      </c>
      <c r="B9" s="65"/>
      <c r="C9" s="65"/>
      <c r="D9" s="64"/>
      <c r="E9" s="64"/>
    </row>
    <row r="10" spans="1:5">
      <c r="A10" s="86" t="str">
        <f>IF(OR(B10&lt;&gt;0, C10&lt;&gt;0, D10&lt;&gt;0, E10&lt;&gt;0), 7, "")</f>
        <v/>
      </c>
      <c r="B10" s="65"/>
      <c r="C10" s="65"/>
      <c r="D10" s="64"/>
      <c r="E10" s="64"/>
    </row>
    <row r="11" spans="1:5">
      <c r="A11" s="86" t="str">
        <f>IF(OR(B11&lt;&gt;0, C11&lt;&gt;0, D11&lt;&gt;0, E11&lt;&gt;0), 8, "")</f>
        <v/>
      </c>
      <c r="B11" s="65"/>
      <c r="C11" s="65"/>
      <c r="D11" s="64"/>
      <c r="E11" s="64"/>
    </row>
    <row r="12" spans="1:5">
      <c r="A12" s="86" t="str">
        <f>IF(OR(B12&lt;&gt;0, C12&lt;&gt;0, D12&lt;&gt;0, E12&lt;&gt;0), 9, "")</f>
        <v/>
      </c>
      <c r="B12" s="65"/>
      <c r="C12" s="65"/>
      <c r="D12" s="64"/>
      <c r="E12" s="64"/>
    </row>
    <row r="13" spans="1:5">
      <c r="A13" s="86" t="str">
        <f>IF(OR(B13&lt;&gt;0, C13&lt;&gt;0, D13&lt;&gt;0, E13&lt;&gt;0), 10, "")</f>
        <v/>
      </c>
      <c r="B13" s="65"/>
      <c r="C13" s="65"/>
      <c r="D13" s="64"/>
      <c r="E13" s="64"/>
    </row>
    <row r="14" spans="1:5">
      <c r="A14" s="86" t="str">
        <f>IF(OR(B14&lt;&gt;0, C14&lt;&gt;0, D14&lt;&gt;0, E14&lt;&gt;0), 11, "")</f>
        <v/>
      </c>
      <c r="B14" s="65"/>
      <c r="C14" s="65"/>
      <c r="D14" s="64"/>
      <c r="E14" s="64"/>
    </row>
    <row r="15" spans="1:5">
      <c r="A15" s="86" t="str">
        <f>IF(OR(B15&lt;&gt;0, C15&lt;&gt;0, D15&lt;&gt;0, E15&lt;&gt;0), 12, "")</f>
        <v/>
      </c>
      <c r="B15" s="65"/>
      <c r="C15" s="65"/>
      <c r="D15" s="64"/>
      <c r="E15" s="64"/>
    </row>
    <row r="16" spans="1:5">
      <c r="A16" s="86" t="str">
        <f>IF(OR(B16&lt;&gt;0, C16&lt;&gt;0, D16&lt;&gt;0, E16&lt;&gt;0), 13, "")</f>
        <v/>
      </c>
      <c r="B16" s="65"/>
      <c r="C16" s="65"/>
      <c r="D16" s="64"/>
      <c r="E16" s="64"/>
    </row>
    <row r="17" spans="1:5">
      <c r="A17" s="86" t="str">
        <f>IF(OR(B17&lt;&gt;0, C17&lt;&gt;0, D17&lt;&gt;0, E17&lt;&gt;0), 14, "")</f>
        <v/>
      </c>
      <c r="B17" s="65"/>
      <c r="C17" s="65"/>
      <c r="D17" s="64"/>
      <c r="E17" s="64"/>
    </row>
    <row r="18" spans="1:5">
      <c r="A18" s="86" t="str">
        <f>IF(OR(B18&lt;&gt;0, C18&lt;&gt;0, D18&lt;&gt;0, E18&lt;&gt;0), 15, "")</f>
        <v/>
      </c>
      <c r="B18" s="65"/>
      <c r="C18" s="65"/>
      <c r="D18" s="64"/>
      <c r="E18" s="64"/>
    </row>
    <row r="19" spans="1:5">
      <c r="A19" s="86" t="str">
        <f>IF(OR(B19&lt;&gt;0, C19&lt;&gt;0, D19&lt;&gt;0, E19&lt;&gt;0), 16, "")</f>
        <v/>
      </c>
      <c r="B19" s="65"/>
      <c r="C19" s="65"/>
      <c r="D19" s="64"/>
      <c r="E19" s="64"/>
    </row>
    <row r="20" spans="1:5">
      <c r="A20" s="86" t="str">
        <f>IF(OR(B20&lt;&gt;0, C20&lt;&gt;0, D20&lt;&gt;0, E20&lt;&gt;0), 17, "")</f>
        <v/>
      </c>
      <c r="B20" s="65"/>
      <c r="C20" s="65"/>
      <c r="D20" s="64"/>
      <c r="E20" s="64"/>
    </row>
    <row r="21" spans="1:5">
      <c r="A21" s="86" t="str">
        <f>IF(OR(B21&lt;&gt;0, C21&lt;&gt;0, D21&lt;&gt;0, E21&lt;&gt;0), 18, "")</f>
        <v/>
      </c>
      <c r="B21" s="65"/>
      <c r="C21" s="65"/>
      <c r="D21" s="64"/>
      <c r="E21" s="64"/>
    </row>
    <row r="22" spans="1:5">
      <c r="A22" s="86" t="str">
        <f>IF(OR(B22&lt;&gt;0, C22&lt;&gt;0, D22&lt;&gt;0, E22&lt;&gt;0), 19, "")</f>
        <v/>
      </c>
      <c r="B22" s="65"/>
      <c r="C22" s="65"/>
      <c r="D22" s="64"/>
      <c r="E22" s="64"/>
    </row>
    <row r="23" spans="1:5">
      <c r="A23" s="86" t="str">
        <f>IF(OR(B23&lt;&gt;0, C23&lt;&gt;0, D23&lt;&gt;0, E23&lt;&gt;0), 20, "")</f>
        <v/>
      </c>
      <c r="B23" s="65"/>
      <c r="C23" s="65"/>
      <c r="D23" s="64"/>
      <c r="E23" s="64"/>
    </row>
  </sheetData>
  <sheetProtection password="CC6D" sheet="1" objects="1" scenarios="1" selectLockedCells="1"/>
  <mergeCells count="1">
    <mergeCell ref="A1:E1"/>
  </mergeCells>
  <conditionalFormatting sqref="A4:A23">
    <cfRule type="cellIs" dxfId="5" priority="2" operator="between">
      <formula>0</formula>
      <formula>20</formula>
    </cfRule>
  </conditionalFormatting>
  <conditionalFormatting sqref="B4:E23">
    <cfRule type="cellIs" dxfId="4" priority="1" operator="greaterThan">
      <formula>0</formula>
    </cfRule>
  </conditionalFormatting>
  <dataValidations count="2">
    <dataValidation type="whole" allowBlank="1" showInputMessage="1" showErrorMessage="1" sqref="E4:E23">
      <formula1>0</formula1>
      <formula2>50</formula2>
    </dataValidation>
    <dataValidation type="list" allowBlank="1" showInputMessage="1" showErrorMessage="1" sqref="D4:D23">
      <formula1>"Федеральный, Региональный, Муниципальный"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23"/>
  <sheetViews>
    <sheetView view="pageLayout" workbookViewId="0">
      <selection activeCell="B4" sqref="B4"/>
    </sheetView>
  </sheetViews>
  <sheetFormatPr defaultRowHeight="15"/>
  <cols>
    <col min="1" max="1" width="5.42578125" style="1" customWidth="1"/>
    <col min="2" max="2" width="45.85546875" style="1" customWidth="1"/>
    <col min="3" max="3" width="16.28515625" style="1" customWidth="1"/>
    <col min="4" max="4" width="17.5703125" style="1" customWidth="1"/>
    <col min="5" max="5" width="45.85546875" style="1" customWidth="1"/>
    <col min="6" max="16384" width="9.140625" style="1"/>
  </cols>
  <sheetData>
    <row r="1" spans="1:6" ht="15.75">
      <c r="A1" s="127" t="s">
        <v>361</v>
      </c>
      <c r="B1" s="127"/>
      <c r="C1" s="127"/>
      <c r="D1" s="127"/>
      <c r="E1" s="127"/>
    </row>
    <row r="3" spans="1:6" ht="30">
      <c r="A3" s="87" t="s">
        <v>180</v>
      </c>
      <c r="B3" s="87" t="s">
        <v>319</v>
      </c>
      <c r="C3" s="87" t="s">
        <v>317</v>
      </c>
      <c r="D3" s="87" t="s">
        <v>320</v>
      </c>
      <c r="E3" s="87" t="s">
        <v>321</v>
      </c>
      <c r="F3" s="106"/>
    </row>
    <row r="4" spans="1:6">
      <c r="A4" s="105" t="str">
        <f>IF(OR(B4&lt;&gt;0, C4&lt;&gt;0, D4&lt;&gt;0, E4&lt;&gt;0), 1, "")</f>
        <v/>
      </c>
      <c r="B4" s="65"/>
      <c r="C4" s="64"/>
      <c r="D4" s="64"/>
      <c r="E4" s="65"/>
    </row>
    <row r="5" spans="1:6">
      <c r="A5" s="105" t="str">
        <f>IF(OR(B5&lt;&gt;0, C5&lt;&gt;0, D5&lt;&gt;0, E5&lt;&gt;0), 2, "")</f>
        <v/>
      </c>
      <c r="B5" s="65"/>
      <c r="C5" s="64"/>
      <c r="D5" s="64"/>
      <c r="E5" s="65"/>
    </row>
    <row r="6" spans="1:6">
      <c r="A6" s="105" t="str">
        <f>IF(OR(B6&lt;&gt;0, C6&lt;&gt;0, D6&lt;&gt;0, E6&lt;&gt;0), 3, "")</f>
        <v/>
      </c>
      <c r="B6" s="65"/>
      <c r="C6" s="64"/>
      <c r="D6" s="107"/>
      <c r="E6" s="65"/>
    </row>
    <row r="7" spans="1:6">
      <c r="A7" s="105" t="str">
        <f>IF(OR(B7&lt;&gt;0, C7&lt;&gt;0, D7&lt;&gt;0, E7&lt;&gt;0), 4, "")</f>
        <v/>
      </c>
      <c r="B7" s="65"/>
      <c r="C7" s="64"/>
      <c r="D7" s="64"/>
      <c r="E7" s="65"/>
    </row>
    <row r="8" spans="1:6">
      <c r="A8" s="105" t="str">
        <f>IF(OR(B8&lt;&gt;0, C8&lt;&gt;0, D8&lt;&gt;0, E8&lt;&gt;0), 5, "")</f>
        <v/>
      </c>
      <c r="B8" s="65"/>
      <c r="C8" s="64"/>
      <c r="D8" s="64"/>
      <c r="E8" s="65"/>
    </row>
    <row r="9" spans="1:6">
      <c r="A9" s="105" t="str">
        <f>IF(OR(B9&lt;&gt;0, C9&lt;&gt;0, D9&lt;&gt;0, E9&lt;&gt;0), 6, "")</f>
        <v/>
      </c>
      <c r="B9" s="65"/>
      <c r="C9" s="64"/>
      <c r="D9" s="64"/>
      <c r="E9" s="65"/>
    </row>
    <row r="10" spans="1:6">
      <c r="A10" s="105" t="str">
        <f>IF(OR(B10&lt;&gt;0, C10&lt;&gt;0, D10&lt;&gt;0, E10&lt;&gt;0), 7, "")</f>
        <v/>
      </c>
      <c r="B10" s="65"/>
      <c r="C10" s="64"/>
      <c r="D10" s="64"/>
      <c r="E10" s="65"/>
    </row>
    <row r="11" spans="1:6">
      <c r="A11" s="105" t="str">
        <f>IF(OR(B11&lt;&gt;0, C11&lt;&gt;0, D11&lt;&gt;0, E11&lt;&gt;0), 8, "")</f>
        <v/>
      </c>
      <c r="B11" s="65"/>
      <c r="C11" s="64"/>
      <c r="D11" s="64"/>
      <c r="E11" s="65"/>
    </row>
    <row r="12" spans="1:6">
      <c r="A12" s="105" t="str">
        <f>IF(OR(B12&lt;&gt;0, C12&lt;&gt;0, D12&lt;&gt;0, E12&lt;&gt;0), 9, "")</f>
        <v/>
      </c>
      <c r="B12" s="65"/>
      <c r="C12" s="64"/>
      <c r="D12" s="64"/>
      <c r="E12" s="65"/>
    </row>
    <row r="13" spans="1:6">
      <c r="A13" s="105" t="str">
        <f>IF(OR(B13&lt;&gt;0, C13&lt;&gt;0, D13&lt;&gt;0, E13&lt;&gt;0), 10, "")</f>
        <v/>
      </c>
      <c r="B13" s="65"/>
      <c r="C13" s="64"/>
      <c r="D13" s="64"/>
      <c r="E13" s="65"/>
    </row>
    <row r="14" spans="1:6">
      <c r="A14" s="105" t="str">
        <f>IF(OR(B14&lt;&gt;0, C14&lt;&gt;0, D14&lt;&gt;0, E14&lt;&gt;0), 11, "")</f>
        <v/>
      </c>
      <c r="B14" s="65"/>
      <c r="C14" s="64"/>
      <c r="D14" s="64"/>
      <c r="E14" s="65"/>
    </row>
    <row r="15" spans="1:6">
      <c r="A15" s="105" t="str">
        <f>IF(OR(B15&lt;&gt;0, C15&lt;&gt;0, D15&lt;&gt;0, E15&lt;&gt;0), 12, "")</f>
        <v/>
      </c>
      <c r="B15" s="65"/>
      <c r="C15" s="64"/>
      <c r="D15" s="64"/>
      <c r="E15" s="65"/>
    </row>
    <row r="16" spans="1:6">
      <c r="A16" s="105" t="str">
        <f>IF(OR(B16&lt;&gt;0, C16&lt;&gt;0, D16&lt;&gt;0, E16&lt;&gt;0), 13, "")</f>
        <v/>
      </c>
      <c r="B16" s="65"/>
      <c r="C16" s="64"/>
      <c r="D16" s="64"/>
      <c r="E16" s="65"/>
    </row>
    <row r="17" spans="1:5">
      <c r="A17" s="105" t="str">
        <f>IF(OR(B17&lt;&gt;0, C17&lt;&gt;0, D17&lt;&gt;0, E17&lt;&gt;0), 14, "")</f>
        <v/>
      </c>
      <c r="B17" s="65"/>
      <c r="C17" s="64"/>
      <c r="D17" s="64"/>
      <c r="E17" s="65"/>
    </row>
    <row r="18" spans="1:5">
      <c r="A18" s="105" t="str">
        <f>IF(OR(B18&lt;&gt;0, C18&lt;&gt;0, D18&lt;&gt;0, E18&lt;&gt;0), 15, "")</f>
        <v/>
      </c>
      <c r="B18" s="65"/>
      <c r="C18" s="64"/>
      <c r="D18" s="64"/>
      <c r="E18" s="65"/>
    </row>
    <row r="19" spans="1:5">
      <c r="A19" s="105" t="str">
        <f>IF(OR(B19&lt;&gt;0, C19&lt;&gt;0, D19&lt;&gt;0, E19&lt;&gt;0), 16, "")</f>
        <v/>
      </c>
      <c r="B19" s="65"/>
      <c r="C19" s="64"/>
      <c r="D19" s="64"/>
      <c r="E19" s="65"/>
    </row>
    <row r="20" spans="1:5">
      <c r="A20" s="105" t="str">
        <f>IF(OR(B20&lt;&gt;0, C20&lt;&gt;0, D20&lt;&gt;0, E20&lt;&gt;0), 17, "")</f>
        <v/>
      </c>
      <c r="B20" s="65"/>
      <c r="C20" s="64"/>
      <c r="D20" s="64"/>
      <c r="E20" s="65"/>
    </row>
    <row r="21" spans="1:5">
      <c r="A21" s="105" t="str">
        <f>IF(OR(B21&lt;&gt;0, C21&lt;&gt;0, D21&lt;&gt;0, E21&lt;&gt;0), 18, "")</f>
        <v/>
      </c>
      <c r="B21" s="65"/>
      <c r="C21" s="64"/>
      <c r="D21" s="64"/>
      <c r="E21" s="65"/>
    </row>
    <row r="22" spans="1:5">
      <c r="A22" s="105" t="str">
        <f>IF(OR(B22&lt;&gt;0, C22&lt;&gt;0, D22&lt;&gt;0, E22&lt;&gt;0), 19, "")</f>
        <v/>
      </c>
      <c r="B22" s="65"/>
      <c r="C22" s="64"/>
      <c r="D22" s="64"/>
      <c r="E22" s="65"/>
    </row>
    <row r="23" spans="1:5">
      <c r="A23" s="105" t="str">
        <f>IF(OR(B23&lt;&gt;0, C23&lt;&gt;0, D23&lt;&gt;0, E23&lt;&gt;0), 20, "")</f>
        <v/>
      </c>
      <c r="B23" s="65"/>
      <c r="C23" s="64"/>
      <c r="D23" s="64"/>
      <c r="E23" s="65"/>
    </row>
  </sheetData>
  <sheetProtection password="CC6D" sheet="1" objects="1" scenarios="1" selectLockedCells="1"/>
  <mergeCells count="1">
    <mergeCell ref="A1:E1"/>
  </mergeCells>
  <conditionalFormatting sqref="A4:A23">
    <cfRule type="cellIs" dxfId="3" priority="2" operator="between">
      <formula>0</formula>
      <formula>20</formula>
    </cfRule>
  </conditionalFormatting>
  <conditionalFormatting sqref="B4:E23">
    <cfRule type="cellIs" dxfId="2" priority="1" operator="greaterThan">
      <formula>0</formula>
    </cfRule>
  </conditionalFormatting>
  <dataValidations count="2">
    <dataValidation type="list" allowBlank="1" showInputMessage="1" showErrorMessage="1" sqref="C4:C23">
      <formula1>"Федеральный, Региональный, Муниципальный"</formula1>
    </dataValidation>
    <dataValidation type="date" allowBlank="1" showInputMessage="1" showErrorMessage="1" sqref="D4:D23">
      <formula1>43252</formula1>
      <formula2>43617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23"/>
  <sheetViews>
    <sheetView view="pageLayout" workbookViewId="0">
      <selection activeCell="E15" sqref="E14:E15"/>
    </sheetView>
  </sheetViews>
  <sheetFormatPr defaultRowHeight="15"/>
  <cols>
    <col min="1" max="1" width="5.42578125" style="1" customWidth="1"/>
    <col min="2" max="2" width="45.7109375" style="1" customWidth="1"/>
    <col min="3" max="3" width="16.5703125" style="1" customWidth="1"/>
    <col min="4" max="4" width="17.5703125" style="1" customWidth="1"/>
    <col min="5" max="5" width="45.7109375" style="1" customWidth="1"/>
    <col min="6" max="16384" width="9.140625" style="1"/>
  </cols>
  <sheetData>
    <row r="1" spans="1:5" ht="15.75">
      <c r="A1" s="127" t="s">
        <v>362</v>
      </c>
      <c r="B1" s="127"/>
      <c r="C1" s="127"/>
      <c r="D1" s="127"/>
      <c r="E1" s="127"/>
    </row>
    <row r="3" spans="1:5" ht="30">
      <c r="A3" s="87" t="s">
        <v>180</v>
      </c>
      <c r="B3" s="87" t="s">
        <v>322</v>
      </c>
      <c r="C3" s="87" t="s">
        <v>317</v>
      </c>
      <c r="D3" s="87" t="s">
        <v>320</v>
      </c>
      <c r="E3" s="87" t="s">
        <v>323</v>
      </c>
    </row>
    <row r="4" spans="1:5" ht="30">
      <c r="A4" s="105">
        <f>IF(OR(B4&lt;&gt;0, C4&lt;&gt;0, D4&lt;&gt;0, E4&lt;&gt;0), 1, "")</f>
        <v>1</v>
      </c>
      <c r="B4" s="65" t="s">
        <v>375</v>
      </c>
      <c r="C4" s="64" t="s">
        <v>376</v>
      </c>
      <c r="D4" s="107">
        <v>43343</v>
      </c>
      <c r="E4" s="65" t="s">
        <v>377</v>
      </c>
    </row>
    <row r="5" spans="1:5">
      <c r="A5" s="105" t="str">
        <f>IF(OR(B5&lt;&gt;0, C5&lt;&gt;0, D5&lt;&gt;0, E5&lt;&gt;0), 2, "")</f>
        <v/>
      </c>
      <c r="B5" s="65"/>
      <c r="C5" s="64"/>
      <c r="D5" s="64"/>
      <c r="E5" s="65"/>
    </row>
    <row r="6" spans="1:5">
      <c r="A6" s="105" t="str">
        <f>IF(OR(B6&lt;&gt;0, C6&lt;&gt;0, D6&lt;&gt;0, E6&lt;&gt;0), 3, "")</f>
        <v/>
      </c>
      <c r="B6" s="65"/>
      <c r="C6" s="64"/>
      <c r="D6" s="107"/>
      <c r="E6" s="65"/>
    </row>
    <row r="7" spans="1:5">
      <c r="A7" s="105" t="str">
        <f>IF(OR(B7&lt;&gt;0, C7&lt;&gt;0, D7&lt;&gt;0, E7&lt;&gt;0), 4, "")</f>
        <v/>
      </c>
      <c r="B7" s="65"/>
      <c r="C7" s="64"/>
      <c r="D7" s="64"/>
      <c r="E7" s="65"/>
    </row>
    <row r="8" spans="1:5">
      <c r="A8" s="105" t="str">
        <f>IF(OR(B8&lt;&gt;0, C8&lt;&gt;0, D8&lt;&gt;0, E8&lt;&gt;0), 5, "")</f>
        <v/>
      </c>
      <c r="B8" s="65"/>
      <c r="C8" s="64"/>
      <c r="D8" s="64"/>
      <c r="E8" s="65"/>
    </row>
    <row r="9" spans="1:5">
      <c r="A9" s="105" t="str">
        <f>IF(OR(B9&lt;&gt;0, C9&lt;&gt;0, D9&lt;&gt;0, E9&lt;&gt;0), 6, "")</f>
        <v/>
      </c>
      <c r="B9" s="65"/>
      <c r="C9" s="64"/>
      <c r="D9" s="64"/>
      <c r="E9" s="65"/>
    </row>
    <row r="10" spans="1:5">
      <c r="A10" s="105" t="str">
        <f>IF(OR(B10&lt;&gt;0, C10&lt;&gt;0, D10&lt;&gt;0, E10&lt;&gt;0), 7, "")</f>
        <v/>
      </c>
      <c r="B10" s="65"/>
      <c r="C10" s="64"/>
      <c r="D10" s="64"/>
      <c r="E10" s="65"/>
    </row>
    <row r="11" spans="1:5">
      <c r="A11" s="105" t="str">
        <f>IF(OR(B11&lt;&gt;0, C11&lt;&gt;0, D11&lt;&gt;0, E11&lt;&gt;0), 8, "")</f>
        <v/>
      </c>
      <c r="B11" s="65"/>
      <c r="C11" s="64"/>
      <c r="D11" s="64"/>
      <c r="E11" s="65"/>
    </row>
    <row r="12" spans="1:5">
      <c r="A12" s="105" t="str">
        <f>IF(OR(B12&lt;&gt;0, C12&lt;&gt;0, D12&lt;&gt;0, E12&lt;&gt;0), 9, "")</f>
        <v/>
      </c>
      <c r="B12" s="65"/>
      <c r="C12" s="64"/>
      <c r="D12" s="64"/>
      <c r="E12" s="65"/>
    </row>
    <row r="13" spans="1:5">
      <c r="A13" s="105" t="str">
        <f>IF(OR(B13&lt;&gt;0, C13&lt;&gt;0, D13&lt;&gt;0, E13&lt;&gt;0), 10, "")</f>
        <v/>
      </c>
      <c r="B13" s="65"/>
      <c r="C13" s="64"/>
      <c r="D13" s="64"/>
      <c r="E13" s="65"/>
    </row>
    <row r="14" spans="1:5">
      <c r="A14" s="105" t="str">
        <f>IF(OR(B14&lt;&gt;0, C14&lt;&gt;0, D14&lt;&gt;0, E14&lt;&gt;0), 11, "")</f>
        <v/>
      </c>
      <c r="B14" s="65"/>
      <c r="C14" s="64"/>
      <c r="D14" s="64"/>
      <c r="E14" s="65"/>
    </row>
    <row r="15" spans="1:5">
      <c r="A15" s="105" t="str">
        <f>IF(OR(B15&lt;&gt;0, C15&lt;&gt;0, D15&lt;&gt;0, E15&lt;&gt;0), 12, "")</f>
        <v/>
      </c>
      <c r="B15" s="65"/>
      <c r="C15" s="64"/>
      <c r="D15" s="64"/>
      <c r="E15" s="65"/>
    </row>
    <row r="16" spans="1:5">
      <c r="A16" s="105" t="str">
        <f>IF(OR(B16&lt;&gt;0, C16&lt;&gt;0, D16&lt;&gt;0, E16&lt;&gt;0), 13, "")</f>
        <v/>
      </c>
      <c r="B16" s="65"/>
      <c r="C16" s="64"/>
      <c r="D16" s="64"/>
      <c r="E16" s="65"/>
    </row>
    <row r="17" spans="1:5">
      <c r="A17" s="105" t="str">
        <f>IF(OR(B17&lt;&gt;0, C17&lt;&gt;0, D17&lt;&gt;0, E17&lt;&gt;0), 14, "")</f>
        <v/>
      </c>
      <c r="B17" s="65"/>
      <c r="C17" s="64"/>
      <c r="D17" s="64"/>
      <c r="E17" s="65"/>
    </row>
    <row r="18" spans="1:5">
      <c r="A18" s="105" t="str">
        <f>IF(OR(B18&lt;&gt;0, C18&lt;&gt;0, D18&lt;&gt;0, E18&lt;&gt;0), 15, "")</f>
        <v/>
      </c>
      <c r="B18" s="65"/>
      <c r="C18" s="64"/>
      <c r="D18" s="64"/>
      <c r="E18" s="65"/>
    </row>
    <row r="19" spans="1:5">
      <c r="A19" s="105" t="str">
        <f>IF(OR(B19&lt;&gt;0, C19&lt;&gt;0, D19&lt;&gt;0, E19&lt;&gt;0), 16, "")</f>
        <v/>
      </c>
      <c r="B19" s="65"/>
      <c r="C19" s="64"/>
      <c r="D19" s="64"/>
      <c r="E19" s="65"/>
    </row>
    <row r="20" spans="1:5">
      <c r="A20" s="105" t="str">
        <f>IF(OR(B20&lt;&gt;0, C20&lt;&gt;0, D20&lt;&gt;0, E20&lt;&gt;0), 17, "")</f>
        <v/>
      </c>
      <c r="B20" s="65"/>
      <c r="C20" s="64"/>
      <c r="D20" s="64"/>
      <c r="E20" s="65"/>
    </row>
    <row r="21" spans="1:5">
      <c r="A21" s="105" t="str">
        <f>IF(OR(B21&lt;&gt;0, C21&lt;&gt;0, D21&lt;&gt;0, E21&lt;&gt;0), 18, "")</f>
        <v/>
      </c>
      <c r="B21" s="65"/>
      <c r="C21" s="64"/>
      <c r="D21" s="64"/>
      <c r="E21" s="65"/>
    </row>
    <row r="22" spans="1:5">
      <c r="A22" s="105" t="str">
        <f>IF(OR(B22&lt;&gt;0, C22&lt;&gt;0, D22&lt;&gt;0, E22&lt;&gt;0), 19, "")</f>
        <v/>
      </c>
      <c r="B22" s="65"/>
      <c r="C22" s="64"/>
      <c r="D22" s="64"/>
      <c r="E22" s="65"/>
    </row>
    <row r="23" spans="1:5">
      <c r="A23" s="105" t="str">
        <f>IF(OR(B23&lt;&gt;0, C23&lt;&gt;0, D23&lt;&gt;0, E23&lt;&gt;0), 20, "")</f>
        <v/>
      </c>
      <c r="B23" s="65"/>
      <c r="C23" s="64"/>
      <c r="D23" s="107"/>
      <c r="E23" s="65"/>
    </row>
  </sheetData>
  <sheetProtection password="CC6D" sheet="1" objects="1" scenarios="1" selectLockedCells="1"/>
  <mergeCells count="1">
    <mergeCell ref="A1:E1"/>
  </mergeCells>
  <conditionalFormatting sqref="A4:A23">
    <cfRule type="cellIs" dxfId="1" priority="2" operator="between">
      <formula>0</formula>
      <formula>20</formula>
    </cfRule>
  </conditionalFormatting>
  <conditionalFormatting sqref="B4:E23">
    <cfRule type="cellIs" dxfId="0" priority="1" operator="greaterThan">
      <formula>0</formula>
    </cfRule>
  </conditionalFormatting>
  <dataValidations count="2">
    <dataValidation type="date" allowBlank="1" showInputMessage="1" showErrorMessage="1" sqref="D4:D23">
      <formula1>43252</formula1>
      <formula2>43617</formula2>
    </dataValidation>
    <dataValidation type="list" allowBlank="1" showInputMessage="1" showErrorMessage="1" sqref="C4:C23">
      <formula1>"Федеральный, Региональный, Муниципальный"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Layout" workbookViewId="0">
      <selection activeCell="A17" sqref="A17:I17"/>
    </sheetView>
  </sheetViews>
  <sheetFormatPr defaultRowHeight="15"/>
  <cols>
    <col min="1" max="8" width="9.140625" style="1"/>
    <col min="9" max="9" width="14.28515625" style="1" customWidth="1"/>
    <col min="10" max="16384" width="9.140625" style="1"/>
  </cols>
  <sheetData>
    <row r="1" spans="1:9" ht="15.75">
      <c r="A1" s="127" t="s">
        <v>324</v>
      </c>
      <c r="B1" s="127"/>
      <c r="C1" s="127"/>
      <c r="D1" s="127"/>
      <c r="E1" s="127"/>
      <c r="F1" s="127"/>
      <c r="G1" s="127"/>
      <c r="H1" s="127"/>
      <c r="I1" s="127"/>
    </row>
    <row r="3" spans="1:9" ht="45" customHeight="1">
      <c r="A3" s="197" t="s">
        <v>339</v>
      </c>
      <c r="B3" s="197"/>
      <c r="C3" s="197"/>
      <c r="D3" s="197"/>
      <c r="E3" s="197"/>
      <c r="F3" s="197"/>
      <c r="G3" s="197"/>
      <c r="H3" s="197"/>
      <c r="I3" s="197"/>
    </row>
    <row r="5" spans="1:9" ht="15.75">
      <c r="A5" s="127" t="s">
        <v>363</v>
      </c>
      <c r="B5" s="127"/>
      <c r="C5" s="127"/>
      <c r="D5" s="127"/>
      <c r="E5" s="127"/>
      <c r="F5" s="127"/>
      <c r="G5" s="127"/>
      <c r="H5" s="127"/>
      <c r="I5" s="127"/>
    </row>
    <row r="7" spans="1:9" ht="30.75" customHeight="1">
      <c r="A7" s="198" t="s">
        <v>334</v>
      </c>
      <c r="B7" s="198"/>
      <c r="C7" s="198"/>
      <c r="D7" s="198"/>
      <c r="E7" s="198"/>
      <c r="F7" s="198"/>
      <c r="G7" s="198"/>
      <c r="H7" s="198"/>
      <c r="I7" s="198"/>
    </row>
    <row r="8" spans="1:9">
      <c r="A8" s="198" t="s">
        <v>333</v>
      </c>
      <c r="B8" s="198"/>
      <c r="C8" s="198"/>
      <c r="D8" s="198"/>
      <c r="E8" s="198"/>
      <c r="F8" s="198"/>
      <c r="G8" s="198"/>
      <c r="H8" s="198"/>
      <c r="I8" s="198"/>
    </row>
    <row r="9" spans="1:9" ht="45" customHeight="1">
      <c r="A9" s="198" t="s">
        <v>332</v>
      </c>
      <c r="B9" s="198"/>
      <c r="C9" s="198"/>
      <c r="D9" s="198"/>
      <c r="E9" s="198"/>
      <c r="F9" s="198"/>
      <c r="G9" s="198"/>
      <c r="H9" s="198"/>
      <c r="I9" s="198"/>
    </row>
    <row r="10" spans="1:9" ht="30" customHeight="1">
      <c r="A10" s="198" t="s">
        <v>331</v>
      </c>
      <c r="B10" s="198"/>
      <c r="C10" s="198"/>
      <c r="D10" s="198"/>
      <c r="E10" s="198"/>
      <c r="F10" s="198"/>
      <c r="G10" s="198"/>
      <c r="H10" s="198"/>
      <c r="I10" s="198"/>
    </row>
    <row r="11" spans="1:9">
      <c r="A11" s="198" t="s">
        <v>330</v>
      </c>
      <c r="B11" s="198"/>
      <c r="C11" s="198"/>
      <c r="D11" s="198"/>
      <c r="E11" s="198"/>
      <c r="F11" s="198"/>
      <c r="G11" s="198"/>
      <c r="H11" s="198"/>
      <c r="I11" s="198"/>
    </row>
    <row r="12" spans="1:9" ht="30" customHeight="1">
      <c r="A12" s="198" t="s">
        <v>329</v>
      </c>
      <c r="B12" s="198"/>
      <c r="C12" s="198"/>
      <c r="D12" s="198"/>
      <c r="E12" s="198"/>
      <c r="F12" s="198"/>
      <c r="G12" s="198"/>
      <c r="H12" s="198"/>
      <c r="I12" s="198"/>
    </row>
    <row r="14" spans="1:9" ht="15.75">
      <c r="A14" s="200" t="s">
        <v>364</v>
      </c>
      <c r="B14" s="200"/>
      <c r="C14" s="200"/>
      <c r="D14" s="200"/>
      <c r="E14" s="200"/>
      <c r="F14" s="200"/>
      <c r="G14" s="200"/>
      <c r="H14" s="200"/>
      <c r="I14" s="200"/>
    </row>
    <row r="16" spans="1:9">
      <c r="A16" s="199" t="s">
        <v>328</v>
      </c>
      <c r="B16" s="199"/>
      <c r="C16" s="199"/>
      <c r="D16" s="199"/>
      <c r="E16" s="199"/>
      <c r="F16" s="199"/>
      <c r="G16" s="199"/>
      <c r="H16" s="199"/>
      <c r="I16" s="199"/>
    </row>
    <row r="17" spans="1:9" ht="30" customHeight="1">
      <c r="A17" s="198" t="s">
        <v>326</v>
      </c>
      <c r="B17" s="198"/>
      <c r="C17" s="198"/>
      <c r="D17" s="198"/>
      <c r="E17" s="198"/>
      <c r="F17" s="198"/>
      <c r="G17" s="198"/>
      <c r="H17" s="198"/>
      <c r="I17" s="198"/>
    </row>
    <row r="18" spans="1:9" ht="30" customHeight="1">
      <c r="A18" s="198" t="s">
        <v>325</v>
      </c>
      <c r="B18" s="198"/>
      <c r="C18" s="198"/>
      <c r="D18" s="198"/>
      <c r="E18" s="198"/>
      <c r="F18" s="198"/>
      <c r="G18" s="198"/>
      <c r="H18" s="198"/>
      <c r="I18" s="198"/>
    </row>
    <row r="19" spans="1:9">
      <c r="A19" s="199" t="s">
        <v>327</v>
      </c>
      <c r="B19" s="199"/>
      <c r="C19" s="199"/>
      <c r="D19" s="199"/>
      <c r="E19" s="199"/>
      <c r="F19" s="199"/>
      <c r="G19" s="199"/>
      <c r="H19" s="199"/>
      <c r="I19" s="199"/>
    </row>
  </sheetData>
  <sheetProtection password="CC6D" sheet="1" objects="1" scenarios="1" selectLockedCells="1"/>
  <mergeCells count="14">
    <mergeCell ref="A16:I16"/>
    <mergeCell ref="A17:I17"/>
    <mergeCell ref="A18:I18"/>
    <mergeCell ref="A19:I19"/>
    <mergeCell ref="A9:I9"/>
    <mergeCell ref="A10:I10"/>
    <mergeCell ref="A11:I11"/>
    <mergeCell ref="A12:I12"/>
    <mergeCell ref="A14:I14"/>
    <mergeCell ref="A3:I3"/>
    <mergeCell ref="A1:I1"/>
    <mergeCell ref="A5:I5"/>
    <mergeCell ref="A7:I7"/>
    <mergeCell ref="A8:I8"/>
  </mergeCells>
  <pageMargins left="0.7" right="0.7" top="0.75" bottom="0.75" header="0.3" footer="0.3"/>
  <pageSetup paperSize="9" orientation="portrait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view="pageLayout" topLeftCell="A16" workbookViewId="0">
      <selection activeCell="M18" sqref="M18"/>
    </sheetView>
  </sheetViews>
  <sheetFormatPr defaultRowHeight="15"/>
  <cols>
    <col min="1" max="6" width="9.140625" style="1"/>
    <col min="7" max="7" width="6.85546875" style="1" customWidth="1"/>
    <col min="8" max="9" width="6" style="1" customWidth="1"/>
    <col min="10" max="11" width="12.85546875" style="1" customWidth="1"/>
    <col min="12" max="12" width="6" style="1" customWidth="1"/>
    <col min="13" max="14" width="12.85546875" style="1" customWidth="1"/>
    <col min="15" max="16384" width="9.140625" style="1"/>
  </cols>
  <sheetData>
    <row r="1" spans="1:14" ht="15.75">
      <c r="A1" s="127" t="s">
        <v>171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3" spans="1:14" ht="45" customHeight="1">
      <c r="A3" s="141" t="s">
        <v>121</v>
      </c>
      <c r="B3" s="141"/>
      <c r="C3" s="141"/>
      <c r="D3" s="141"/>
      <c r="E3" s="141"/>
      <c r="F3" s="141"/>
      <c r="G3" s="150" t="s">
        <v>2</v>
      </c>
      <c r="H3" s="141" t="s">
        <v>30</v>
      </c>
      <c r="I3" s="150" t="s">
        <v>114</v>
      </c>
      <c r="J3" s="150"/>
      <c r="K3" s="150"/>
      <c r="L3" s="150" t="s">
        <v>115</v>
      </c>
      <c r="M3" s="150"/>
      <c r="N3" s="150"/>
    </row>
    <row r="4" spans="1:14">
      <c r="A4" s="141"/>
      <c r="B4" s="141"/>
      <c r="C4" s="141"/>
      <c r="D4" s="141"/>
      <c r="E4" s="141"/>
      <c r="F4" s="141"/>
      <c r="G4" s="150"/>
      <c r="H4" s="141"/>
      <c r="I4" s="141" t="s">
        <v>30</v>
      </c>
      <c r="J4" s="141" t="s">
        <v>118</v>
      </c>
      <c r="K4" s="141"/>
      <c r="L4" s="141" t="s">
        <v>30</v>
      </c>
      <c r="M4" s="141" t="s">
        <v>118</v>
      </c>
      <c r="N4" s="141"/>
    </row>
    <row r="5" spans="1:14" ht="38.25">
      <c r="A5" s="141"/>
      <c r="B5" s="141"/>
      <c r="C5" s="141"/>
      <c r="D5" s="141"/>
      <c r="E5" s="141"/>
      <c r="F5" s="141"/>
      <c r="G5" s="150"/>
      <c r="H5" s="141"/>
      <c r="I5" s="141"/>
      <c r="J5" s="91" t="s">
        <v>119</v>
      </c>
      <c r="K5" s="91" t="s">
        <v>120</v>
      </c>
      <c r="L5" s="141"/>
      <c r="M5" s="91" t="s">
        <v>119</v>
      </c>
      <c r="N5" s="91" t="s">
        <v>120</v>
      </c>
    </row>
    <row r="6" spans="1:14">
      <c r="A6" s="141">
        <v>1</v>
      </c>
      <c r="B6" s="141"/>
      <c r="C6" s="141"/>
      <c r="D6" s="141"/>
      <c r="E6" s="141"/>
      <c r="F6" s="141"/>
      <c r="G6" s="92">
        <v>2</v>
      </c>
      <c r="H6" s="92">
        <v>3</v>
      </c>
      <c r="I6" s="92">
        <v>4</v>
      </c>
      <c r="J6" s="92">
        <v>5</v>
      </c>
      <c r="K6" s="92">
        <v>6</v>
      </c>
      <c r="L6" s="92">
        <v>7</v>
      </c>
      <c r="M6" s="92">
        <v>8</v>
      </c>
      <c r="N6" s="92">
        <v>9</v>
      </c>
    </row>
    <row r="7" spans="1:14">
      <c r="A7" s="146" t="s">
        <v>122</v>
      </c>
      <c r="B7" s="146"/>
      <c r="C7" s="146"/>
      <c r="D7" s="146"/>
      <c r="E7" s="146"/>
      <c r="F7" s="146"/>
      <c r="G7" s="93" t="s">
        <v>32</v>
      </c>
      <c r="H7" s="94">
        <f>H8+H11+H14</f>
        <v>6</v>
      </c>
      <c r="I7" s="94">
        <f t="shared" ref="I7:N7" si="0">I8+I11+I14</f>
        <v>5</v>
      </c>
      <c r="J7" s="94">
        <f t="shared" si="0"/>
        <v>5</v>
      </c>
      <c r="K7" s="94">
        <f t="shared" si="0"/>
        <v>0</v>
      </c>
      <c r="L7" s="94">
        <f t="shared" si="0"/>
        <v>1</v>
      </c>
      <c r="M7" s="94">
        <f t="shared" si="0"/>
        <v>1</v>
      </c>
      <c r="N7" s="94">
        <f t="shared" si="0"/>
        <v>0</v>
      </c>
    </row>
    <row r="8" spans="1:14" ht="45" customHeight="1">
      <c r="A8" s="148" t="s">
        <v>123</v>
      </c>
      <c r="B8" s="148"/>
      <c r="C8" s="148"/>
      <c r="D8" s="148"/>
      <c r="E8" s="148"/>
      <c r="F8" s="148"/>
      <c r="G8" s="93" t="s">
        <v>31</v>
      </c>
      <c r="H8" s="94">
        <f>H9+H10</f>
        <v>0</v>
      </c>
      <c r="I8" s="94">
        <f t="shared" ref="I8:N8" si="1">I9+I10</f>
        <v>0</v>
      </c>
      <c r="J8" s="94">
        <f t="shared" si="1"/>
        <v>0</v>
      </c>
      <c r="K8" s="94">
        <f t="shared" si="1"/>
        <v>0</v>
      </c>
      <c r="L8" s="94">
        <f t="shared" si="1"/>
        <v>0</v>
      </c>
      <c r="M8" s="94">
        <f t="shared" si="1"/>
        <v>0</v>
      </c>
      <c r="N8" s="94">
        <f t="shared" si="1"/>
        <v>0</v>
      </c>
    </row>
    <row r="9" spans="1:14">
      <c r="A9" s="147" t="s">
        <v>125</v>
      </c>
      <c r="B9" s="147"/>
      <c r="C9" s="147"/>
      <c r="D9" s="147"/>
      <c r="E9" s="147"/>
      <c r="F9" s="147"/>
      <c r="G9" s="93" t="s">
        <v>33</v>
      </c>
      <c r="H9" s="94">
        <f>I9+L9</f>
        <v>0</v>
      </c>
      <c r="I9" s="94">
        <f>J9+K9</f>
        <v>0</v>
      </c>
      <c r="J9" s="95">
        <v>0</v>
      </c>
      <c r="K9" s="95">
        <v>0</v>
      </c>
      <c r="L9" s="94">
        <f>M9+N9</f>
        <v>0</v>
      </c>
      <c r="M9" s="95">
        <v>0</v>
      </c>
      <c r="N9" s="95">
        <v>0</v>
      </c>
    </row>
    <row r="10" spans="1:14">
      <c r="A10" s="147" t="s">
        <v>124</v>
      </c>
      <c r="B10" s="147"/>
      <c r="C10" s="147"/>
      <c r="D10" s="147"/>
      <c r="E10" s="147"/>
      <c r="F10" s="147"/>
      <c r="G10" s="93" t="s">
        <v>34</v>
      </c>
      <c r="H10" s="94">
        <f>I10+L10</f>
        <v>0</v>
      </c>
      <c r="I10" s="94">
        <f>J10+K10</f>
        <v>0</v>
      </c>
      <c r="J10" s="95">
        <v>0</v>
      </c>
      <c r="K10" s="95">
        <v>0</v>
      </c>
      <c r="L10" s="94">
        <f>M10+N10</f>
        <v>0</v>
      </c>
      <c r="M10" s="95">
        <v>0</v>
      </c>
      <c r="N10" s="95">
        <v>0</v>
      </c>
    </row>
    <row r="11" spans="1:14" ht="30" customHeight="1">
      <c r="A11" s="148" t="s">
        <v>126</v>
      </c>
      <c r="B11" s="148"/>
      <c r="C11" s="148"/>
      <c r="D11" s="148"/>
      <c r="E11" s="148"/>
      <c r="F11" s="148"/>
      <c r="G11" s="93" t="s">
        <v>35</v>
      </c>
      <c r="H11" s="94">
        <f>H12+H13</f>
        <v>3</v>
      </c>
      <c r="I11" s="94">
        <f t="shared" ref="I11:N11" si="2">I12+I13</f>
        <v>3</v>
      </c>
      <c r="J11" s="94">
        <f t="shared" si="2"/>
        <v>3</v>
      </c>
      <c r="K11" s="94">
        <f t="shared" si="2"/>
        <v>0</v>
      </c>
      <c r="L11" s="94">
        <f t="shared" si="2"/>
        <v>0</v>
      </c>
      <c r="M11" s="94">
        <f t="shared" si="2"/>
        <v>0</v>
      </c>
      <c r="N11" s="94">
        <f t="shared" si="2"/>
        <v>0</v>
      </c>
    </row>
    <row r="12" spans="1:14" ht="30" customHeight="1">
      <c r="A12" s="149" t="s">
        <v>127</v>
      </c>
      <c r="B12" s="149"/>
      <c r="C12" s="149"/>
      <c r="D12" s="149"/>
      <c r="E12" s="149"/>
      <c r="F12" s="149"/>
      <c r="G12" s="93" t="s">
        <v>36</v>
      </c>
      <c r="H12" s="94">
        <f>I12+L12</f>
        <v>3</v>
      </c>
      <c r="I12" s="94">
        <f>J12+K12</f>
        <v>3</v>
      </c>
      <c r="J12" s="95">
        <v>3</v>
      </c>
      <c r="K12" s="95">
        <v>0</v>
      </c>
      <c r="L12" s="94">
        <f>M12+N12</f>
        <v>0</v>
      </c>
      <c r="M12" s="95">
        <v>0</v>
      </c>
      <c r="N12" s="95">
        <v>0</v>
      </c>
    </row>
    <row r="13" spans="1:14" ht="30" customHeight="1">
      <c r="A13" s="149" t="s">
        <v>128</v>
      </c>
      <c r="B13" s="149"/>
      <c r="C13" s="149"/>
      <c r="D13" s="149"/>
      <c r="E13" s="149"/>
      <c r="F13" s="149"/>
      <c r="G13" s="93" t="s">
        <v>37</v>
      </c>
      <c r="H13" s="94">
        <f t="shared" ref="H13:H14" si="3">I13+L13</f>
        <v>0</v>
      </c>
      <c r="I13" s="94">
        <f t="shared" ref="I13:I14" si="4">J13+K13</f>
        <v>0</v>
      </c>
      <c r="J13" s="95">
        <v>0</v>
      </c>
      <c r="K13" s="95">
        <v>0</v>
      </c>
      <c r="L13" s="94">
        <f t="shared" ref="L13:L14" si="5">M13+N13</f>
        <v>0</v>
      </c>
      <c r="M13" s="95">
        <v>0</v>
      </c>
      <c r="N13" s="95">
        <v>0</v>
      </c>
    </row>
    <row r="14" spans="1:14" ht="30" customHeight="1">
      <c r="A14" s="148" t="s">
        <v>129</v>
      </c>
      <c r="B14" s="148"/>
      <c r="C14" s="148"/>
      <c r="D14" s="148"/>
      <c r="E14" s="148"/>
      <c r="F14" s="148"/>
      <c r="G14" s="93" t="s">
        <v>38</v>
      </c>
      <c r="H14" s="94">
        <f t="shared" si="3"/>
        <v>3</v>
      </c>
      <c r="I14" s="94">
        <f t="shared" si="4"/>
        <v>2</v>
      </c>
      <c r="J14" s="95">
        <v>2</v>
      </c>
      <c r="K14" s="95">
        <v>0</v>
      </c>
      <c r="L14" s="94">
        <f t="shared" si="5"/>
        <v>1</v>
      </c>
      <c r="M14" s="95">
        <v>1</v>
      </c>
      <c r="N14" s="95">
        <v>0</v>
      </c>
    </row>
    <row r="15" spans="1:14">
      <c r="A15" s="146" t="s">
        <v>130</v>
      </c>
      <c r="B15" s="146"/>
      <c r="C15" s="146"/>
      <c r="D15" s="146"/>
      <c r="E15" s="146"/>
      <c r="F15" s="146"/>
      <c r="G15" s="93" t="s">
        <v>39</v>
      </c>
      <c r="H15" s="94">
        <f>H16+H17+H18+H19</f>
        <v>23</v>
      </c>
      <c r="I15" s="94">
        <f t="shared" ref="I15:N15" si="6">I16+I17+I18+I19</f>
        <v>1</v>
      </c>
      <c r="J15" s="94">
        <f t="shared" si="6"/>
        <v>1</v>
      </c>
      <c r="K15" s="94">
        <f t="shared" si="6"/>
        <v>0</v>
      </c>
      <c r="L15" s="94">
        <f t="shared" si="6"/>
        <v>22</v>
      </c>
      <c r="M15" s="94">
        <f t="shared" si="6"/>
        <v>6</v>
      </c>
      <c r="N15" s="94">
        <f t="shared" si="6"/>
        <v>16</v>
      </c>
    </row>
    <row r="16" spans="1:14" ht="30" customHeight="1">
      <c r="A16" s="149" t="s">
        <v>134</v>
      </c>
      <c r="B16" s="149"/>
      <c r="C16" s="149"/>
      <c r="D16" s="149"/>
      <c r="E16" s="149"/>
      <c r="F16" s="149"/>
      <c r="G16" s="93" t="s">
        <v>40</v>
      </c>
      <c r="H16" s="94">
        <f>I16+L16</f>
        <v>0</v>
      </c>
      <c r="I16" s="94">
        <f>J16+K16</f>
        <v>0</v>
      </c>
      <c r="J16" s="95">
        <v>0</v>
      </c>
      <c r="K16" s="95">
        <v>0</v>
      </c>
      <c r="L16" s="94">
        <f>M16+N16</f>
        <v>0</v>
      </c>
      <c r="M16" s="95">
        <v>0</v>
      </c>
      <c r="N16" s="95">
        <v>0</v>
      </c>
    </row>
    <row r="17" spans="1:14">
      <c r="A17" s="147" t="s">
        <v>133</v>
      </c>
      <c r="B17" s="147"/>
      <c r="C17" s="147"/>
      <c r="D17" s="147"/>
      <c r="E17" s="147"/>
      <c r="F17" s="147"/>
      <c r="G17" s="93" t="s">
        <v>41</v>
      </c>
      <c r="H17" s="94">
        <f t="shared" ref="H17:H20" si="7">I17+L17</f>
        <v>6</v>
      </c>
      <c r="I17" s="94">
        <f t="shared" ref="I17:I20" si="8">J17+K17</f>
        <v>0</v>
      </c>
      <c r="J17" s="95">
        <v>0</v>
      </c>
      <c r="K17" s="95">
        <v>0</v>
      </c>
      <c r="L17" s="94">
        <f t="shared" ref="L17:L20" si="9">M17+N17</f>
        <v>6</v>
      </c>
      <c r="M17" s="95">
        <v>0</v>
      </c>
      <c r="N17" s="95">
        <v>6</v>
      </c>
    </row>
    <row r="18" spans="1:14" ht="30" customHeight="1">
      <c r="A18" s="149" t="s">
        <v>135</v>
      </c>
      <c r="B18" s="149"/>
      <c r="C18" s="149"/>
      <c r="D18" s="149"/>
      <c r="E18" s="149"/>
      <c r="F18" s="149"/>
      <c r="G18" s="93" t="s">
        <v>42</v>
      </c>
      <c r="H18" s="94">
        <f t="shared" si="7"/>
        <v>16</v>
      </c>
      <c r="I18" s="94">
        <f t="shared" si="8"/>
        <v>0</v>
      </c>
      <c r="J18" s="95">
        <v>0</v>
      </c>
      <c r="K18" s="95">
        <v>0</v>
      </c>
      <c r="L18" s="94">
        <f t="shared" si="9"/>
        <v>16</v>
      </c>
      <c r="M18" s="95">
        <v>6</v>
      </c>
      <c r="N18" s="95">
        <v>10</v>
      </c>
    </row>
    <row r="19" spans="1:14">
      <c r="A19" s="147" t="s">
        <v>132</v>
      </c>
      <c r="B19" s="147"/>
      <c r="C19" s="147"/>
      <c r="D19" s="147"/>
      <c r="E19" s="147"/>
      <c r="F19" s="147"/>
      <c r="G19" s="93" t="s">
        <v>43</v>
      </c>
      <c r="H19" s="94">
        <f t="shared" si="7"/>
        <v>1</v>
      </c>
      <c r="I19" s="94">
        <f t="shared" si="8"/>
        <v>1</v>
      </c>
      <c r="J19" s="95">
        <v>1</v>
      </c>
      <c r="K19" s="95">
        <v>0</v>
      </c>
      <c r="L19" s="94">
        <f t="shared" si="9"/>
        <v>0</v>
      </c>
      <c r="M19" s="95">
        <v>0</v>
      </c>
      <c r="N19" s="95">
        <v>0</v>
      </c>
    </row>
    <row r="20" spans="1:14" ht="30" customHeight="1">
      <c r="A20" s="148" t="s">
        <v>131</v>
      </c>
      <c r="B20" s="148"/>
      <c r="C20" s="148"/>
      <c r="D20" s="148"/>
      <c r="E20" s="148"/>
      <c r="F20" s="148"/>
      <c r="G20" s="93" t="s">
        <v>44</v>
      </c>
      <c r="H20" s="94">
        <f t="shared" si="7"/>
        <v>335</v>
      </c>
      <c r="I20" s="94">
        <f t="shared" si="8"/>
        <v>112</v>
      </c>
      <c r="J20" s="95">
        <v>112</v>
      </c>
      <c r="K20" s="95">
        <v>0</v>
      </c>
      <c r="L20" s="94">
        <f t="shared" si="9"/>
        <v>223</v>
      </c>
      <c r="M20" s="95">
        <v>173</v>
      </c>
      <c r="N20" s="95">
        <v>50</v>
      </c>
    </row>
  </sheetData>
  <sheetProtection password="CC6D" sheet="1" objects="1" scenarios="1" selectLockedCells="1"/>
  <mergeCells count="25">
    <mergeCell ref="A1:N1"/>
    <mergeCell ref="A11:F11"/>
    <mergeCell ref="A14:F14"/>
    <mergeCell ref="A13:F13"/>
    <mergeCell ref="A12:F12"/>
    <mergeCell ref="I3:K3"/>
    <mergeCell ref="M4:N4"/>
    <mergeCell ref="L4:L5"/>
    <mergeCell ref="I4:I5"/>
    <mergeCell ref="J4:K4"/>
    <mergeCell ref="H3:H5"/>
    <mergeCell ref="G3:G5"/>
    <mergeCell ref="L3:N3"/>
    <mergeCell ref="A20:F20"/>
    <mergeCell ref="A16:F16"/>
    <mergeCell ref="A17:F17"/>
    <mergeCell ref="A18:F18"/>
    <mergeCell ref="A19:F19"/>
    <mergeCell ref="A15:F15"/>
    <mergeCell ref="A3:F5"/>
    <mergeCell ref="A6:F6"/>
    <mergeCell ref="A9:F9"/>
    <mergeCell ref="A10:F10"/>
    <mergeCell ref="A8:F8"/>
    <mergeCell ref="A7:F7"/>
  </mergeCells>
  <dataValidations count="3">
    <dataValidation type="whole" operator="greaterThanOrEqual" allowBlank="1" showErrorMessage="1" error="Введите либо 0, либо целое положительное число." prompt="Введите либо 0, либо целое положительное число." sqref="J9:K10">
      <formula1>0</formula1>
    </dataValidation>
    <dataValidation type="whole" operator="greaterThanOrEqual" allowBlank="1" showErrorMessage="1" error="Введите либо 0, либо целое положительное число." prompt="Введите либо 0, либо целое положительное число." sqref="M9:N10">
      <formula1>0</formula1>
    </dataValidation>
    <dataValidation type="whole" operator="greaterThanOrEqual" allowBlank="1" showErrorMessage="1" error="Введите либо 0, либо целое положительное число." sqref="J12:K14 M12:N14 J16:K20 M16:N20">
      <formula1>0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ignoredErrors>
    <ignoredError sqref="G7:G20" numberStoredAsText="1"/>
    <ignoredError sqref="H11:I11 L11 H15:I15 L15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Layout" workbookViewId="0">
      <selection activeCell="H13" sqref="H13:J13"/>
    </sheetView>
  </sheetViews>
  <sheetFormatPr defaultRowHeight="15"/>
  <cols>
    <col min="1" max="1" width="15.7109375" style="1" customWidth="1"/>
    <col min="2" max="2" width="16.5703125" style="1" customWidth="1"/>
    <col min="3" max="3" width="12.42578125" style="1" customWidth="1"/>
    <col min="4" max="4" width="11.42578125" style="1" customWidth="1"/>
    <col min="5" max="5" width="8.5703125" style="1" customWidth="1"/>
    <col min="6" max="6" width="7.85546875" style="1" customWidth="1"/>
    <col min="7" max="7" width="14.42578125" style="1" customWidth="1"/>
    <col min="8" max="8" width="14.140625" style="1" customWidth="1"/>
    <col min="9" max="9" width="14.28515625" style="1" customWidth="1"/>
    <col min="10" max="10" width="15.42578125" style="1" customWidth="1"/>
    <col min="11" max="16384" width="9.140625" style="1"/>
  </cols>
  <sheetData>
    <row r="1" spans="1:10" ht="15.75">
      <c r="A1" s="127" t="s">
        <v>172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0" ht="45" customHeight="1">
      <c r="A3" s="140" t="s">
        <v>111</v>
      </c>
      <c r="B3" s="140"/>
      <c r="C3" s="140" t="s">
        <v>112</v>
      </c>
      <c r="D3" s="140"/>
      <c r="E3" s="140" t="s">
        <v>113</v>
      </c>
      <c r="F3" s="140"/>
      <c r="G3" s="140" t="s">
        <v>116</v>
      </c>
      <c r="H3" s="140"/>
      <c r="I3" s="140" t="s">
        <v>137</v>
      </c>
      <c r="J3" s="140"/>
    </row>
    <row r="4" spans="1:10">
      <c r="A4" s="134">
        <v>1</v>
      </c>
      <c r="B4" s="134"/>
      <c r="C4" s="134">
        <v>2</v>
      </c>
      <c r="D4" s="134"/>
      <c r="E4" s="134">
        <v>3</v>
      </c>
      <c r="F4" s="134"/>
      <c r="G4" s="134">
        <v>4</v>
      </c>
      <c r="H4" s="134"/>
      <c r="I4" s="134">
        <v>5</v>
      </c>
      <c r="J4" s="134"/>
    </row>
    <row r="5" spans="1:10" ht="45" customHeight="1">
      <c r="A5" s="162" t="s">
        <v>114</v>
      </c>
      <c r="B5" s="162"/>
      <c r="C5" s="163">
        <v>5</v>
      </c>
      <c r="D5" s="163"/>
      <c r="E5" s="142">
        <f>'1'!E58</f>
        <v>108</v>
      </c>
      <c r="F5" s="142"/>
      <c r="G5" s="142">
        <v>0</v>
      </c>
      <c r="H5" s="142"/>
      <c r="I5" s="142">
        <v>0</v>
      </c>
      <c r="J5" s="142"/>
    </row>
    <row r="6" spans="1:10" ht="45" customHeight="1">
      <c r="A6" s="162" t="s">
        <v>136</v>
      </c>
      <c r="B6" s="162"/>
      <c r="C6" s="163">
        <v>33</v>
      </c>
      <c r="D6" s="163"/>
      <c r="E6" s="142">
        <f>'1'!I58+'1'!M58</f>
        <v>228</v>
      </c>
      <c r="F6" s="142"/>
      <c r="G6" s="142">
        <v>0</v>
      </c>
      <c r="H6" s="142"/>
      <c r="I6" s="142">
        <v>0</v>
      </c>
      <c r="J6" s="142"/>
    </row>
    <row r="9" spans="1:10" ht="15.75">
      <c r="A9" s="127" t="s">
        <v>173</v>
      </c>
      <c r="B9" s="127"/>
      <c r="C9" s="127"/>
      <c r="D9" s="127"/>
      <c r="E9" s="127"/>
      <c r="F9" s="127"/>
      <c r="G9" s="127"/>
      <c r="H9" s="127"/>
      <c r="I9" s="127"/>
      <c r="J9" s="127"/>
    </row>
    <row r="11" spans="1:10" ht="30" customHeight="1">
      <c r="A11" s="140" t="s">
        <v>142</v>
      </c>
      <c r="B11" s="140"/>
      <c r="C11" s="140"/>
      <c r="D11" s="140" t="s">
        <v>313</v>
      </c>
      <c r="E11" s="140"/>
      <c r="F11" s="140"/>
      <c r="G11" s="140"/>
      <c r="H11" s="140" t="s">
        <v>314</v>
      </c>
      <c r="I11" s="140"/>
      <c r="J11" s="140"/>
    </row>
    <row r="12" spans="1:10">
      <c r="A12" s="134">
        <v>1</v>
      </c>
      <c r="B12" s="134"/>
      <c r="C12" s="134"/>
      <c r="D12" s="134">
        <v>2</v>
      </c>
      <c r="E12" s="134"/>
      <c r="F12" s="134"/>
      <c r="G12" s="134"/>
      <c r="H12" s="134">
        <v>3</v>
      </c>
      <c r="I12" s="134"/>
      <c r="J12" s="134"/>
    </row>
    <row r="13" spans="1:10">
      <c r="A13" s="161" t="s">
        <v>143</v>
      </c>
      <c r="B13" s="161"/>
      <c r="C13" s="161"/>
      <c r="D13" s="151">
        <v>0</v>
      </c>
      <c r="E13" s="151"/>
      <c r="F13" s="151"/>
      <c r="G13" s="151"/>
      <c r="H13" s="151">
        <v>0</v>
      </c>
      <c r="I13" s="151"/>
      <c r="J13" s="151"/>
    </row>
    <row r="14" spans="1:10">
      <c r="A14" s="158" t="s">
        <v>144</v>
      </c>
      <c r="B14" s="159"/>
      <c r="C14" s="160"/>
      <c r="D14" s="151">
        <v>0</v>
      </c>
      <c r="E14" s="151"/>
      <c r="F14" s="151"/>
      <c r="G14" s="151"/>
      <c r="H14" s="151">
        <v>0</v>
      </c>
      <c r="I14" s="151"/>
      <c r="J14" s="151"/>
    </row>
    <row r="15" spans="1:10">
      <c r="A15" s="158" t="s">
        <v>145</v>
      </c>
      <c r="B15" s="159"/>
      <c r="C15" s="160"/>
      <c r="D15" s="151">
        <v>0</v>
      </c>
      <c r="E15" s="151"/>
      <c r="F15" s="151"/>
      <c r="G15" s="151"/>
      <c r="H15" s="151">
        <v>0</v>
      </c>
      <c r="I15" s="151"/>
      <c r="J15" s="151"/>
    </row>
    <row r="16" spans="1:10">
      <c r="A16" s="158" t="s">
        <v>146</v>
      </c>
      <c r="B16" s="159"/>
      <c r="C16" s="160"/>
      <c r="D16" s="151">
        <v>0</v>
      </c>
      <c r="E16" s="151"/>
      <c r="F16" s="151"/>
      <c r="G16" s="151"/>
      <c r="H16" s="151">
        <v>0</v>
      </c>
      <c r="I16" s="151"/>
      <c r="J16" s="151"/>
    </row>
    <row r="17" spans="1:10">
      <c r="A17" s="158" t="s">
        <v>147</v>
      </c>
      <c r="B17" s="159"/>
      <c r="C17" s="160"/>
      <c r="D17" s="151">
        <v>0</v>
      </c>
      <c r="E17" s="151"/>
      <c r="F17" s="151"/>
      <c r="G17" s="151"/>
      <c r="H17" s="151">
        <v>0</v>
      </c>
      <c r="I17" s="151"/>
      <c r="J17" s="151"/>
    </row>
    <row r="18" spans="1:10">
      <c r="A18" s="158" t="s">
        <v>148</v>
      </c>
      <c r="B18" s="159"/>
      <c r="C18" s="160"/>
      <c r="D18" s="151">
        <v>0</v>
      </c>
      <c r="E18" s="151"/>
      <c r="F18" s="151"/>
      <c r="G18" s="151"/>
      <c r="H18" s="151">
        <v>0</v>
      </c>
      <c r="I18" s="151"/>
      <c r="J18" s="151"/>
    </row>
    <row r="19" spans="1:10">
      <c r="A19" s="158" t="s">
        <v>149</v>
      </c>
      <c r="B19" s="159"/>
      <c r="C19" s="160"/>
      <c r="D19" s="151">
        <v>0</v>
      </c>
      <c r="E19" s="151"/>
      <c r="F19" s="151"/>
      <c r="G19" s="151"/>
      <c r="H19" s="151">
        <v>0</v>
      </c>
      <c r="I19" s="151"/>
      <c r="J19" s="151"/>
    </row>
    <row r="20" spans="1:10">
      <c r="A20" s="158" t="s">
        <v>150</v>
      </c>
      <c r="B20" s="159"/>
      <c r="C20" s="160"/>
      <c r="D20" s="151">
        <v>0</v>
      </c>
      <c r="E20" s="151"/>
      <c r="F20" s="151"/>
      <c r="G20" s="151"/>
      <c r="H20" s="151">
        <v>0</v>
      </c>
      <c r="I20" s="151"/>
      <c r="J20" s="151"/>
    </row>
    <row r="21" spans="1:10">
      <c r="A21" s="158" t="s">
        <v>151</v>
      </c>
      <c r="B21" s="159"/>
      <c r="C21" s="160"/>
      <c r="D21" s="151">
        <v>0</v>
      </c>
      <c r="E21" s="151"/>
      <c r="F21" s="151"/>
      <c r="G21" s="151"/>
      <c r="H21" s="151">
        <v>0</v>
      </c>
      <c r="I21" s="151"/>
      <c r="J21" s="151"/>
    </row>
    <row r="22" spans="1:10" ht="15.75">
      <c r="A22" s="152" t="s">
        <v>30</v>
      </c>
      <c r="B22" s="153"/>
      <c r="C22" s="154"/>
      <c r="D22" s="155">
        <f>D13+D14+D15+D16+D17+D18+D19+D20+D21</f>
        <v>0</v>
      </c>
      <c r="E22" s="156"/>
      <c r="F22" s="156"/>
      <c r="G22" s="157"/>
      <c r="H22" s="155">
        <f>H13+H14+H15+H16+H17+H18+H19+H20+H21</f>
        <v>0</v>
      </c>
      <c r="I22" s="156"/>
      <c r="J22" s="157"/>
    </row>
  </sheetData>
  <sheetProtection password="CC6D" sheet="1" objects="1" scenarios="1" selectLockedCells="1"/>
  <mergeCells count="58">
    <mergeCell ref="A9:J9"/>
    <mergeCell ref="A1:J1"/>
    <mergeCell ref="I4:J4"/>
    <mergeCell ref="G4:H4"/>
    <mergeCell ref="E4:F4"/>
    <mergeCell ref="C4:D4"/>
    <mergeCell ref="A4:B4"/>
    <mergeCell ref="A3:B3"/>
    <mergeCell ref="C3:D3"/>
    <mergeCell ref="E3:F3"/>
    <mergeCell ref="G3:H3"/>
    <mergeCell ref="I3:J3"/>
    <mergeCell ref="G5:H5"/>
    <mergeCell ref="G6:H6"/>
    <mergeCell ref="I5:J5"/>
    <mergeCell ref="I6:J6"/>
    <mergeCell ref="A5:B5"/>
    <mergeCell ref="A6:B6"/>
    <mergeCell ref="C5:D5"/>
    <mergeCell ref="C6:D6"/>
    <mergeCell ref="E5:F5"/>
    <mergeCell ref="E6:F6"/>
    <mergeCell ref="A11:C11"/>
    <mergeCell ref="D11:G11"/>
    <mergeCell ref="H11:J11"/>
    <mergeCell ref="A12:C12"/>
    <mergeCell ref="D12:G12"/>
    <mergeCell ref="H12:J12"/>
    <mergeCell ref="A19:C19"/>
    <mergeCell ref="A20:C20"/>
    <mergeCell ref="D13:G13"/>
    <mergeCell ref="H13:J13"/>
    <mergeCell ref="A13:C13"/>
    <mergeCell ref="A14:C14"/>
    <mergeCell ref="A15:C15"/>
    <mergeCell ref="H14:J14"/>
    <mergeCell ref="H15:J15"/>
    <mergeCell ref="D14:G14"/>
    <mergeCell ref="D15:G15"/>
    <mergeCell ref="D16:G16"/>
    <mergeCell ref="D17:G17"/>
    <mergeCell ref="D18:G18"/>
    <mergeCell ref="H21:J21"/>
    <mergeCell ref="A22:C22"/>
    <mergeCell ref="D22:G22"/>
    <mergeCell ref="H22:J22"/>
    <mergeCell ref="H16:J16"/>
    <mergeCell ref="H17:J17"/>
    <mergeCell ref="H18:J18"/>
    <mergeCell ref="H19:J19"/>
    <mergeCell ref="H20:J20"/>
    <mergeCell ref="A21:C21"/>
    <mergeCell ref="D19:G19"/>
    <mergeCell ref="D20:G20"/>
    <mergeCell ref="D21:G21"/>
    <mergeCell ref="A16:C16"/>
    <mergeCell ref="A17:C17"/>
    <mergeCell ref="A18:C18"/>
  </mergeCells>
  <dataValidations count="4">
    <dataValidation type="whole" allowBlank="1" showErrorMessage="1" error="Введите либо 0, либо целое положительное число." sqref="D13:G21">
      <formula1>0</formula1>
      <formula2>15</formula2>
    </dataValidation>
    <dataValidation type="whole" allowBlank="1" showErrorMessage="1" error="Введите либо 0, либо целое положительное число." sqref="H13:J13">
      <formula1>0</formula1>
      <formula2>D13</formula2>
    </dataValidation>
    <dataValidation type="whole" allowBlank="1" showErrorMessage="1" error="Введите либо 0, либо целое положительное число." sqref="H14:J14 H15:J15 H16:J21">
      <formula1>0</formula1>
      <formula2>D14</formula2>
    </dataValidation>
    <dataValidation type="whole" allowBlank="1" showErrorMessage="1" error="Введите количество образовательных программ." sqref="C5:D6">
      <formula1>1</formula1>
      <formula2>50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J7" sqref="J7:L7"/>
    </sheetView>
  </sheetViews>
  <sheetFormatPr defaultRowHeight="15"/>
  <cols>
    <col min="1" max="1" width="13.28515625" style="1" customWidth="1"/>
    <col min="2" max="2" width="16.28515625" style="1" customWidth="1"/>
    <col min="3" max="3" width="13.140625" style="1" customWidth="1"/>
    <col min="4" max="4" width="9.85546875" style="1" customWidth="1"/>
    <col min="5" max="5" width="9.42578125" style="1" customWidth="1"/>
    <col min="6" max="6" width="10.140625" style="1" customWidth="1"/>
    <col min="7" max="7" width="9.140625" style="1"/>
    <col min="8" max="9" width="10.5703125" style="1" customWidth="1"/>
    <col min="10" max="16384" width="9.140625" style="1"/>
  </cols>
  <sheetData>
    <row r="1" spans="1:12" ht="15.75">
      <c r="A1" s="127" t="s">
        <v>174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3" spans="1:12" ht="75" customHeight="1">
      <c r="A3" s="137" t="s">
        <v>344</v>
      </c>
      <c r="B3" s="137" t="s">
        <v>117</v>
      </c>
      <c r="C3" s="137" t="s">
        <v>152</v>
      </c>
      <c r="D3" s="140" t="s">
        <v>153</v>
      </c>
      <c r="E3" s="140"/>
      <c r="F3" s="140"/>
      <c r="G3" s="140"/>
      <c r="H3" s="169" t="s">
        <v>157</v>
      </c>
      <c r="I3" s="170"/>
      <c r="J3" s="169" t="s">
        <v>156</v>
      </c>
      <c r="K3" s="175"/>
      <c r="L3" s="170"/>
    </row>
    <row r="4" spans="1:12" ht="15" customHeight="1">
      <c r="A4" s="138"/>
      <c r="B4" s="138"/>
      <c r="C4" s="138"/>
      <c r="D4" s="140" t="s">
        <v>154</v>
      </c>
      <c r="E4" s="140"/>
      <c r="F4" s="140" t="s">
        <v>155</v>
      </c>
      <c r="G4" s="140"/>
      <c r="H4" s="171"/>
      <c r="I4" s="172"/>
      <c r="J4" s="171"/>
      <c r="K4" s="176"/>
      <c r="L4" s="172"/>
    </row>
    <row r="5" spans="1:12">
      <c r="A5" s="139"/>
      <c r="B5" s="139"/>
      <c r="C5" s="139"/>
      <c r="D5" s="90" t="s">
        <v>335</v>
      </c>
      <c r="E5" s="90" t="s">
        <v>341</v>
      </c>
      <c r="F5" s="89" t="s">
        <v>335</v>
      </c>
      <c r="G5" s="89" t="s">
        <v>341</v>
      </c>
      <c r="H5" s="173"/>
      <c r="I5" s="174"/>
      <c r="J5" s="173"/>
      <c r="K5" s="177"/>
      <c r="L5" s="174"/>
    </row>
    <row r="6" spans="1:12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166">
        <v>8</v>
      </c>
      <c r="I6" s="167"/>
      <c r="J6" s="166">
        <v>9</v>
      </c>
      <c r="K6" s="168"/>
      <c r="L6" s="167"/>
    </row>
    <row r="7" spans="1:12">
      <c r="A7" s="11">
        <f>'4'!D22</f>
        <v>0</v>
      </c>
      <c r="B7" s="19">
        <v>0</v>
      </c>
      <c r="C7" s="19">
        <v>0</v>
      </c>
      <c r="D7" s="88">
        <v>0</v>
      </c>
      <c r="E7" s="88">
        <v>0</v>
      </c>
      <c r="F7" s="88">
        <v>0</v>
      </c>
      <c r="G7" s="88">
        <v>0</v>
      </c>
      <c r="H7" s="151">
        <v>0</v>
      </c>
      <c r="I7" s="151"/>
      <c r="J7" s="151">
        <v>0</v>
      </c>
      <c r="K7" s="151"/>
      <c r="L7" s="151"/>
    </row>
    <row r="9" spans="1:12" ht="15.75">
      <c r="A9" s="127" t="s">
        <v>175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1" spans="1:12">
      <c r="A11" s="90" t="s">
        <v>109</v>
      </c>
      <c r="B11" s="134" t="s">
        <v>158</v>
      </c>
      <c r="C11" s="134"/>
      <c r="D11" s="134"/>
      <c r="E11" s="134"/>
      <c r="F11" s="134" t="s">
        <v>159</v>
      </c>
      <c r="G11" s="134"/>
      <c r="H11" s="134"/>
      <c r="I11" s="134" t="s">
        <v>160</v>
      </c>
      <c r="J11" s="134"/>
      <c r="K11" s="134"/>
      <c r="L11" s="134"/>
    </row>
    <row r="12" spans="1:12">
      <c r="A12" s="10" t="str">
        <f>IF(1&lt;=B7,1,"")</f>
        <v/>
      </c>
      <c r="B12" s="165"/>
      <c r="C12" s="165"/>
      <c r="D12" s="165"/>
      <c r="E12" s="165"/>
      <c r="F12" s="164"/>
      <c r="G12" s="164"/>
      <c r="H12" s="164"/>
      <c r="I12" s="164"/>
      <c r="J12" s="164"/>
      <c r="K12" s="164"/>
      <c r="L12" s="164"/>
    </row>
    <row r="13" spans="1:12">
      <c r="A13" s="10" t="str">
        <f>IF(A12&lt;B7,2,"")</f>
        <v/>
      </c>
      <c r="B13" s="165"/>
      <c r="C13" s="165"/>
      <c r="D13" s="165"/>
      <c r="E13" s="165"/>
      <c r="F13" s="164"/>
      <c r="G13" s="164"/>
      <c r="H13" s="164"/>
      <c r="I13" s="164"/>
      <c r="J13" s="164"/>
      <c r="K13" s="164"/>
      <c r="L13" s="164"/>
    </row>
    <row r="14" spans="1:12">
      <c r="A14" s="10" t="str">
        <f>IF(A13&lt;B7,3,"")</f>
        <v/>
      </c>
      <c r="B14" s="165"/>
      <c r="C14" s="165"/>
      <c r="D14" s="165"/>
      <c r="E14" s="165"/>
      <c r="F14" s="164"/>
      <c r="G14" s="164"/>
      <c r="H14" s="164"/>
      <c r="I14" s="164"/>
      <c r="J14" s="164"/>
      <c r="K14" s="164"/>
      <c r="L14" s="164"/>
    </row>
    <row r="15" spans="1:12">
      <c r="A15" s="10" t="str">
        <f>IF(A14&lt;B7,4,"")</f>
        <v/>
      </c>
      <c r="B15" s="165"/>
      <c r="C15" s="165"/>
      <c r="D15" s="165"/>
      <c r="E15" s="165"/>
      <c r="F15" s="164"/>
      <c r="G15" s="164"/>
      <c r="H15" s="164"/>
      <c r="I15" s="164"/>
      <c r="J15" s="164"/>
      <c r="K15" s="164"/>
      <c r="L15" s="164"/>
    </row>
    <row r="16" spans="1:12">
      <c r="A16" s="10" t="str">
        <f>IF(A15&lt;B7,5,"")</f>
        <v/>
      </c>
      <c r="B16" s="165"/>
      <c r="C16" s="165"/>
      <c r="D16" s="165"/>
      <c r="E16" s="165"/>
      <c r="F16" s="164"/>
      <c r="G16" s="164"/>
      <c r="H16" s="164"/>
      <c r="I16" s="164"/>
      <c r="J16" s="164"/>
      <c r="K16" s="164"/>
      <c r="L16" s="164"/>
    </row>
    <row r="17" spans="1:12">
      <c r="A17" s="10" t="str">
        <f>IF(A16&lt;B7,6,"")</f>
        <v/>
      </c>
      <c r="B17" s="165"/>
      <c r="C17" s="165"/>
      <c r="D17" s="165"/>
      <c r="E17" s="165"/>
      <c r="F17" s="164"/>
      <c r="G17" s="164"/>
      <c r="H17" s="164"/>
      <c r="I17" s="164"/>
      <c r="J17" s="164"/>
      <c r="K17" s="164"/>
      <c r="L17" s="164"/>
    </row>
    <row r="18" spans="1:12">
      <c r="A18" s="10" t="str">
        <f>IF(A17&lt;B7,7,"")</f>
        <v/>
      </c>
      <c r="B18" s="165"/>
      <c r="C18" s="165"/>
      <c r="D18" s="165"/>
      <c r="E18" s="165"/>
      <c r="F18" s="164"/>
      <c r="G18" s="164"/>
      <c r="H18" s="164"/>
      <c r="I18" s="164"/>
      <c r="J18" s="164"/>
      <c r="K18" s="164"/>
      <c r="L18" s="164"/>
    </row>
    <row r="19" spans="1:12">
      <c r="A19" s="10" t="str">
        <f>IF(A18&lt;B7,8,"")</f>
        <v/>
      </c>
      <c r="B19" s="165"/>
      <c r="C19" s="165"/>
      <c r="D19" s="165"/>
      <c r="E19" s="165"/>
      <c r="F19" s="164"/>
      <c r="G19" s="164"/>
      <c r="H19" s="164"/>
      <c r="I19" s="164"/>
      <c r="J19" s="164"/>
      <c r="K19" s="164"/>
      <c r="L19" s="164"/>
    </row>
    <row r="20" spans="1:12">
      <c r="A20" s="10" t="str">
        <f>IF(A19&lt;B7,9,"")</f>
        <v/>
      </c>
      <c r="B20" s="165"/>
      <c r="C20" s="165"/>
      <c r="D20" s="165"/>
      <c r="E20" s="165"/>
      <c r="F20" s="164"/>
      <c r="G20" s="164"/>
      <c r="H20" s="164"/>
      <c r="I20" s="164"/>
      <c r="J20" s="164"/>
      <c r="K20" s="164"/>
      <c r="L20" s="164"/>
    </row>
    <row r="21" spans="1:12">
      <c r="A21" s="10" t="str">
        <f>IF(A20&lt;B7,10,"")</f>
        <v/>
      </c>
      <c r="B21" s="165"/>
      <c r="C21" s="165"/>
      <c r="D21" s="165"/>
      <c r="E21" s="165"/>
      <c r="F21" s="164"/>
      <c r="G21" s="164"/>
      <c r="H21" s="164"/>
      <c r="I21" s="164"/>
      <c r="J21" s="164"/>
      <c r="K21" s="164"/>
      <c r="L21" s="164"/>
    </row>
    <row r="22" spans="1:12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2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2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</row>
    <row r="26" spans="1:12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1:12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2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2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</row>
    <row r="30" spans="1:12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</sheetData>
  <sheetProtection password="CC6D" sheet="1" objects="1" scenarios="1" selectLockedCells="1"/>
  <mergeCells count="47">
    <mergeCell ref="A1:L1"/>
    <mergeCell ref="H7:I7"/>
    <mergeCell ref="D3:G3"/>
    <mergeCell ref="D4:E4"/>
    <mergeCell ref="F4:G4"/>
    <mergeCell ref="H3:I5"/>
    <mergeCell ref="J3:L5"/>
    <mergeCell ref="B3:B5"/>
    <mergeCell ref="C3:C5"/>
    <mergeCell ref="A3:A5"/>
    <mergeCell ref="A9:L9"/>
    <mergeCell ref="I11:L11"/>
    <mergeCell ref="F11:H11"/>
    <mergeCell ref="J7:L7"/>
    <mergeCell ref="H6:I6"/>
    <mergeCell ref="J6:L6"/>
    <mergeCell ref="B21:E21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F19:H19"/>
    <mergeCell ref="F20:H20"/>
    <mergeCell ref="F21:H21"/>
    <mergeCell ref="F12:H12"/>
    <mergeCell ref="F13:H13"/>
    <mergeCell ref="F14:H14"/>
    <mergeCell ref="F15:H15"/>
    <mergeCell ref="F16:H16"/>
    <mergeCell ref="F17:H17"/>
    <mergeCell ref="F18:H18"/>
    <mergeCell ref="I17:L17"/>
    <mergeCell ref="I18:L18"/>
    <mergeCell ref="I19:L19"/>
    <mergeCell ref="I20:L20"/>
    <mergeCell ref="I21:L21"/>
    <mergeCell ref="I13:L13"/>
    <mergeCell ref="I12:L12"/>
    <mergeCell ref="I14:L14"/>
    <mergeCell ref="I15:L15"/>
    <mergeCell ref="I16:L16"/>
  </mergeCells>
  <conditionalFormatting sqref="B12:E21">
    <cfRule type="cellIs" dxfId="47" priority="4" operator="greaterThan">
      <formula>0</formula>
    </cfRule>
  </conditionalFormatting>
  <conditionalFormatting sqref="F12:H21">
    <cfRule type="cellIs" dxfId="46" priority="3" operator="greaterThan">
      <formula>0</formula>
    </cfRule>
  </conditionalFormatting>
  <conditionalFormatting sqref="I12:L21">
    <cfRule type="cellIs" dxfId="45" priority="2" operator="greaterThan">
      <formula>0</formula>
    </cfRule>
  </conditionalFormatting>
  <conditionalFormatting sqref="A12:A21">
    <cfRule type="cellIs" dxfId="44" priority="1" operator="between">
      <formula>0</formula>
      <formula>$B$7</formula>
    </cfRule>
  </conditionalFormatting>
  <dataValidations count="6">
    <dataValidation type="whole" allowBlank="1" showErrorMessage="1" error="Введите либо 1, либо 0." sqref="H7:L7">
      <formula1>0</formula1>
      <formula2>1</formula2>
    </dataValidation>
    <dataValidation type="whole" allowBlank="1" showErrorMessage="1" error="Введите либо 0, либо целое положительное число." sqref="C7">
      <formula1>0</formula1>
      <formula2>B7</formula2>
    </dataValidation>
    <dataValidation type="whole" allowBlank="1" showErrorMessage="1" error="Введите целое положительное число." sqref="D7:E7">
      <formula1>0</formula1>
      <formula2>100</formula2>
    </dataValidation>
    <dataValidation type="decimal" allowBlank="1" showErrorMessage="1" error="Введите положительное действительное число." sqref="F7:G7">
      <formula1>0</formula1>
      <formula2>100</formula2>
    </dataValidation>
    <dataValidation type="list" allowBlank="1" showErrorMessage="1" error="Выберите вид программы из списка." sqref="F12:H21">
      <formula1>"Предпрофессиональная, Общеразвивающая, ""Старая"""</formula1>
    </dataValidation>
    <dataValidation type="list" allowBlank="1" showErrorMessage="1" error="Выберите срок реализации адаптированной программы из предлагаемого списка." sqref="I12:L21">
      <formula1>"1 год, 2 года, 3 года, 4 года, 5 лет, 6 лет, 7 лет, 8 лет"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whole" allowBlank="1" showErrorMessage="1" error="Введите либо 0, либо целое положительное число.">
          <x14:formula1>
            <xm:f>0</xm:f>
          </x14:formula1>
          <x14:formula2>
            <xm:f>'4'!C5+'4'!C6</xm:f>
          </x14:formula2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A1:P64"/>
  <sheetViews>
    <sheetView view="pageLayout" workbookViewId="0">
      <selection activeCell="I11" sqref="I11:J11"/>
    </sheetView>
  </sheetViews>
  <sheetFormatPr defaultRowHeight="15"/>
  <cols>
    <col min="1" max="1" width="4.28515625" style="1" customWidth="1"/>
    <col min="2" max="2" width="19.85546875" style="1" customWidth="1"/>
    <col min="3" max="3" width="15.85546875" style="1" customWidth="1"/>
    <col min="4" max="4" width="18.28515625" style="1" customWidth="1"/>
    <col min="5" max="6" width="9.7109375" style="1" customWidth="1"/>
    <col min="7" max="7" width="12" style="1" customWidth="1"/>
    <col min="8" max="8" width="12.28515625" style="1" customWidth="1"/>
    <col min="9" max="9" width="14.140625" style="1" customWidth="1"/>
    <col min="10" max="10" width="15" style="1" customWidth="1"/>
    <col min="11" max="11" width="10.140625" style="1" customWidth="1"/>
    <col min="12" max="12" width="10.85546875" style="1" customWidth="1"/>
    <col min="13" max="14" width="9.7109375" style="1" customWidth="1"/>
    <col min="15" max="16" width="12" style="1" customWidth="1"/>
    <col min="17" max="16384" width="9.140625" style="1"/>
  </cols>
  <sheetData>
    <row r="1" spans="1:16" ht="15.75">
      <c r="A1" s="135" t="s">
        <v>176</v>
      </c>
      <c r="B1" s="135"/>
      <c r="C1" s="135"/>
      <c r="D1" s="135"/>
      <c r="E1" s="135"/>
      <c r="F1" s="135"/>
      <c r="G1" s="135"/>
      <c r="H1" s="135"/>
      <c r="I1" s="135"/>
      <c r="J1" s="135"/>
      <c r="K1" s="14"/>
      <c r="L1" s="14"/>
      <c r="M1" s="14"/>
      <c r="N1" s="14"/>
      <c r="O1" s="14"/>
      <c r="P1" s="14"/>
    </row>
    <row r="3" spans="1:16" ht="30" customHeight="1">
      <c r="A3" s="140" t="s">
        <v>105</v>
      </c>
      <c r="B3" s="140"/>
      <c r="C3" s="187" t="s">
        <v>141</v>
      </c>
      <c r="D3" s="188"/>
      <c r="E3" s="188"/>
      <c r="F3" s="188"/>
      <c r="G3" s="189"/>
      <c r="H3" s="140" t="s">
        <v>106</v>
      </c>
      <c r="I3" s="140"/>
      <c r="J3" s="140"/>
      <c r="K3" s="12"/>
      <c r="L3" s="12"/>
      <c r="M3" s="12"/>
      <c r="N3" s="12"/>
      <c r="O3" s="12"/>
      <c r="P3" s="12"/>
    </row>
    <row r="4" spans="1:16">
      <c r="A4" s="140"/>
      <c r="B4" s="140"/>
      <c r="C4" s="134" t="s">
        <v>336</v>
      </c>
      <c r="D4" s="134"/>
      <c r="E4" s="134" t="s">
        <v>337</v>
      </c>
      <c r="F4" s="134"/>
      <c r="G4" s="166"/>
      <c r="H4" s="140"/>
      <c r="I4" s="140"/>
      <c r="J4" s="140"/>
      <c r="K4" s="13"/>
      <c r="L4" s="13"/>
      <c r="M4" s="13"/>
      <c r="N4" s="13"/>
      <c r="O4" s="12"/>
      <c r="P4" s="12"/>
    </row>
    <row r="5" spans="1:16">
      <c r="A5" s="183">
        <v>2</v>
      </c>
      <c r="B5" s="184"/>
      <c r="C5" s="183" t="s">
        <v>378</v>
      </c>
      <c r="D5" s="184"/>
      <c r="E5" s="185"/>
      <c r="F5" s="185"/>
      <c r="G5" s="186"/>
      <c r="H5" s="151">
        <v>23</v>
      </c>
      <c r="I5" s="151"/>
      <c r="J5" s="151"/>
      <c r="K5" s="2"/>
      <c r="L5" s="2"/>
      <c r="M5" s="2"/>
      <c r="N5" s="2"/>
      <c r="O5" s="2"/>
      <c r="P5" s="2"/>
    </row>
    <row r="7" spans="1:16" ht="15.75">
      <c r="A7" s="135" t="s">
        <v>177</v>
      </c>
      <c r="B7" s="135"/>
      <c r="C7" s="135"/>
      <c r="D7" s="135"/>
      <c r="E7" s="135"/>
      <c r="F7" s="135"/>
      <c r="G7" s="135"/>
      <c r="H7" s="135"/>
      <c r="I7" s="135"/>
      <c r="J7" s="135"/>
      <c r="K7" s="14"/>
      <c r="L7" s="14"/>
      <c r="M7" s="14"/>
      <c r="N7" s="14"/>
      <c r="O7" s="14"/>
      <c r="P7" s="14"/>
    </row>
    <row r="9" spans="1:16">
      <c r="A9" s="90" t="s">
        <v>109</v>
      </c>
      <c r="B9" s="108" t="s">
        <v>138</v>
      </c>
      <c r="C9" s="109" t="s">
        <v>139</v>
      </c>
      <c r="D9" s="108" t="s">
        <v>140</v>
      </c>
      <c r="E9" s="166" t="s">
        <v>108</v>
      </c>
      <c r="F9" s="168"/>
      <c r="G9" s="168"/>
      <c r="H9" s="167"/>
      <c r="I9" s="181" t="s">
        <v>107</v>
      </c>
      <c r="J9" s="182"/>
      <c r="K9" s="16"/>
    </row>
    <row r="10" spans="1:16" ht="15" customHeight="1">
      <c r="A10" s="15">
        <f>IF(1&lt;=A5,1,"")</f>
        <v>1</v>
      </c>
      <c r="B10" s="18" t="s">
        <v>367</v>
      </c>
      <c r="C10" s="18" t="s">
        <v>368</v>
      </c>
      <c r="D10" s="18" t="s">
        <v>369</v>
      </c>
      <c r="E10" s="179" t="s">
        <v>370</v>
      </c>
      <c r="F10" s="179"/>
      <c r="G10" s="179"/>
      <c r="H10" s="179"/>
      <c r="I10" s="178" t="s">
        <v>9</v>
      </c>
      <c r="J10" s="178"/>
      <c r="K10" s="17"/>
    </row>
    <row r="11" spans="1:16">
      <c r="A11" s="15">
        <f>IF(A10&lt;A5,2,"")</f>
        <v>2</v>
      </c>
      <c r="B11" s="20" t="s">
        <v>371</v>
      </c>
      <c r="C11" s="20" t="s">
        <v>372</v>
      </c>
      <c r="D11" s="120" t="s">
        <v>379</v>
      </c>
      <c r="E11" s="180" t="s">
        <v>373</v>
      </c>
      <c r="F11" s="180"/>
      <c r="G11" s="180"/>
      <c r="H11" s="180"/>
      <c r="I11" s="178" t="s">
        <v>380</v>
      </c>
      <c r="J11" s="178"/>
      <c r="K11" s="17"/>
    </row>
    <row r="12" spans="1:16">
      <c r="A12" s="15" t="str">
        <f>IF(A11&lt;A5,3,"")</f>
        <v/>
      </c>
      <c r="B12" s="20"/>
      <c r="C12" s="20"/>
      <c r="D12" s="20"/>
      <c r="E12" s="180"/>
      <c r="F12" s="180"/>
      <c r="G12" s="180"/>
      <c r="H12" s="180"/>
      <c r="I12" s="178"/>
      <c r="J12" s="178"/>
      <c r="K12" s="17"/>
    </row>
    <row r="13" spans="1:16">
      <c r="A13" s="15" t="str">
        <f>IF(A12&lt;A5,4,"")</f>
        <v/>
      </c>
      <c r="B13" s="20"/>
      <c r="C13" s="20"/>
      <c r="D13" s="20"/>
      <c r="E13" s="180"/>
      <c r="F13" s="180"/>
      <c r="G13" s="180"/>
      <c r="H13" s="180"/>
      <c r="I13" s="178"/>
      <c r="J13" s="178"/>
      <c r="K13" s="17"/>
    </row>
    <row r="14" spans="1:16">
      <c r="A14" s="15" t="str">
        <f>IF(A13&lt;A5,5,"")</f>
        <v/>
      </c>
      <c r="B14" s="20"/>
      <c r="C14" s="20"/>
      <c r="D14" s="20"/>
      <c r="E14" s="180"/>
      <c r="F14" s="180"/>
      <c r="G14" s="180"/>
      <c r="H14" s="180"/>
      <c r="I14" s="178"/>
      <c r="J14" s="178"/>
      <c r="K14" s="17"/>
    </row>
    <row r="15" spans="1:16">
      <c r="A15" s="15" t="str">
        <f>IF(A14&lt;A5,6,"")</f>
        <v/>
      </c>
      <c r="B15" s="20"/>
      <c r="C15" s="20"/>
      <c r="D15" s="20"/>
      <c r="E15" s="180"/>
      <c r="F15" s="180"/>
      <c r="G15" s="180"/>
      <c r="H15" s="180"/>
      <c r="I15" s="178"/>
      <c r="J15" s="178"/>
      <c r="K15" s="17"/>
    </row>
    <row r="16" spans="1:16">
      <c r="A16" s="8" t="str">
        <f>IF(A15&lt;A5,7,"")</f>
        <v/>
      </c>
      <c r="B16" s="20"/>
      <c r="C16" s="20"/>
      <c r="D16" s="20"/>
      <c r="E16" s="180"/>
      <c r="F16" s="180"/>
      <c r="G16" s="180"/>
      <c r="H16" s="180"/>
      <c r="I16" s="178"/>
      <c r="J16" s="178"/>
      <c r="K16" s="17"/>
    </row>
    <row r="17" spans="1:11">
      <c r="A17" s="8" t="str">
        <f>IF(A16&lt;A5,8,"")</f>
        <v/>
      </c>
      <c r="B17" s="21"/>
      <c r="C17" s="21"/>
      <c r="D17" s="21"/>
      <c r="E17" s="178"/>
      <c r="F17" s="178"/>
      <c r="G17" s="178"/>
      <c r="H17" s="178"/>
      <c r="I17" s="178"/>
      <c r="J17" s="178"/>
      <c r="K17" s="17"/>
    </row>
    <row r="18" spans="1:11">
      <c r="A18" s="8" t="str">
        <f>IF(A17&lt;A5,9,"")</f>
        <v/>
      </c>
      <c r="B18" s="21"/>
      <c r="C18" s="21"/>
      <c r="D18" s="21"/>
      <c r="E18" s="178"/>
      <c r="F18" s="178"/>
      <c r="G18" s="178"/>
      <c r="H18" s="178"/>
      <c r="I18" s="178"/>
      <c r="J18" s="178"/>
      <c r="K18" s="17"/>
    </row>
    <row r="19" spans="1:11">
      <c r="A19" s="8" t="str">
        <f>IF(A18&lt;A5,10,"")</f>
        <v/>
      </c>
      <c r="B19" s="21"/>
      <c r="C19" s="21"/>
      <c r="D19" s="21"/>
      <c r="E19" s="178"/>
      <c r="F19" s="178"/>
      <c r="G19" s="178"/>
      <c r="H19" s="178"/>
      <c r="I19" s="178"/>
      <c r="J19" s="178"/>
      <c r="K19" s="17"/>
    </row>
    <row r="20" spans="1:11">
      <c r="A20" s="8" t="str">
        <f>IF(A19&lt;A5,11,"")</f>
        <v/>
      </c>
      <c r="B20" s="21"/>
      <c r="C20" s="21"/>
      <c r="D20" s="21"/>
      <c r="E20" s="178"/>
      <c r="F20" s="178"/>
      <c r="G20" s="178"/>
      <c r="H20" s="178"/>
      <c r="I20" s="178"/>
      <c r="J20" s="178"/>
      <c r="K20" s="17"/>
    </row>
    <row r="21" spans="1:11">
      <c r="A21" s="8" t="str">
        <f>IF(A20&lt;A5,12,"")</f>
        <v/>
      </c>
      <c r="B21" s="21"/>
      <c r="C21" s="21"/>
      <c r="D21" s="21"/>
      <c r="E21" s="178"/>
      <c r="F21" s="178"/>
      <c r="G21" s="178"/>
      <c r="H21" s="178"/>
      <c r="I21" s="178"/>
      <c r="J21" s="178"/>
      <c r="K21" s="17"/>
    </row>
    <row r="22" spans="1:11">
      <c r="A22" s="8" t="str">
        <f>IF(A21&lt;A5,13,"")</f>
        <v/>
      </c>
      <c r="B22" s="21"/>
      <c r="C22" s="21"/>
      <c r="D22" s="21"/>
      <c r="E22" s="178"/>
      <c r="F22" s="178"/>
      <c r="G22" s="178"/>
      <c r="H22" s="178"/>
      <c r="I22" s="178"/>
      <c r="J22" s="178"/>
      <c r="K22" s="17"/>
    </row>
    <row r="23" spans="1:11">
      <c r="A23" s="8" t="str">
        <f>IF(A22&lt;A5,14,"")</f>
        <v/>
      </c>
      <c r="B23" s="21"/>
      <c r="C23" s="21"/>
      <c r="D23" s="21"/>
      <c r="E23" s="178"/>
      <c r="F23" s="178"/>
      <c r="G23" s="178"/>
      <c r="H23" s="178"/>
      <c r="I23" s="178"/>
      <c r="J23" s="178"/>
      <c r="K23" s="17"/>
    </row>
    <row r="24" spans="1:11">
      <c r="A24" s="8" t="str">
        <f>IF(A23&lt;A5,15,"")</f>
        <v/>
      </c>
      <c r="B24" s="21"/>
      <c r="C24" s="21"/>
      <c r="D24" s="21"/>
      <c r="E24" s="178"/>
      <c r="F24" s="178"/>
      <c r="G24" s="178"/>
      <c r="H24" s="178"/>
      <c r="I24" s="178"/>
      <c r="J24" s="178"/>
      <c r="K24" s="17"/>
    </row>
    <row r="25" spans="1:11">
      <c r="A25" s="8" t="str">
        <f>IF(A24&lt;A5,16,"")</f>
        <v/>
      </c>
      <c r="B25" s="21"/>
      <c r="C25" s="21"/>
      <c r="D25" s="21"/>
      <c r="E25" s="178"/>
      <c r="F25" s="178"/>
      <c r="G25" s="178"/>
      <c r="H25" s="178"/>
      <c r="I25" s="178"/>
      <c r="J25" s="178"/>
      <c r="K25" s="17"/>
    </row>
    <row r="26" spans="1:11">
      <c r="A26" s="8" t="str">
        <f>IF(A25&lt;A5,17,"")</f>
        <v/>
      </c>
      <c r="B26" s="21"/>
      <c r="C26" s="21"/>
      <c r="D26" s="21"/>
      <c r="E26" s="178"/>
      <c r="F26" s="178"/>
      <c r="G26" s="178"/>
      <c r="H26" s="178"/>
      <c r="I26" s="178"/>
      <c r="J26" s="178"/>
      <c r="K26" s="17"/>
    </row>
    <row r="27" spans="1:11">
      <c r="A27" s="8" t="str">
        <f>IF(A26&lt;A5,18,"")</f>
        <v/>
      </c>
      <c r="B27" s="21"/>
      <c r="C27" s="21"/>
      <c r="D27" s="21"/>
      <c r="E27" s="178"/>
      <c r="F27" s="178"/>
      <c r="G27" s="178"/>
      <c r="H27" s="178"/>
      <c r="I27" s="178"/>
      <c r="J27" s="178"/>
      <c r="K27" s="17"/>
    </row>
    <row r="28" spans="1:11">
      <c r="A28" s="8" t="str">
        <f>IF(A27&lt;A5,19,"")</f>
        <v/>
      </c>
      <c r="B28" s="21"/>
      <c r="C28" s="21"/>
      <c r="D28" s="21"/>
      <c r="E28" s="178"/>
      <c r="F28" s="178"/>
      <c r="G28" s="178"/>
      <c r="H28" s="178"/>
      <c r="I28" s="178"/>
      <c r="J28" s="178"/>
      <c r="K28" s="17"/>
    </row>
    <row r="29" spans="1:11">
      <c r="A29" s="8" t="str">
        <f>IF(A28&lt;A5,20,"")</f>
        <v/>
      </c>
      <c r="B29" s="21"/>
      <c r="C29" s="21"/>
      <c r="D29" s="21"/>
      <c r="E29" s="178"/>
      <c r="F29" s="178"/>
      <c r="G29" s="178"/>
      <c r="H29" s="178"/>
      <c r="I29" s="178"/>
      <c r="J29" s="178"/>
      <c r="K29" s="17"/>
    </row>
    <row r="30" spans="1:11">
      <c r="A30" s="8" t="str">
        <f>IF(A29&lt;A5,21,"")</f>
        <v/>
      </c>
      <c r="B30" s="21"/>
      <c r="C30" s="21"/>
      <c r="D30" s="21"/>
      <c r="E30" s="178"/>
      <c r="F30" s="178"/>
      <c r="G30" s="178"/>
      <c r="H30" s="178"/>
      <c r="I30" s="178"/>
      <c r="J30" s="178"/>
      <c r="K30" s="17"/>
    </row>
    <row r="31" spans="1:11">
      <c r="A31" s="8" t="str">
        <f>IF(A30&lt;A5,22,"")</f>
        <v/>
      </c>
      <c r="B31" s="21"/>
      <c r="C31" s="21"/>
      <c r="D31" s="21"/>
      <c r="E31" s="178"/>
      <c r="F31" s="178"/>
      <c r="G31" s="178"/>
      <c r="H31" s="178"/>
      <c r="I31" s="178"/>
      <c r="J31" s="178"/>
      <c r="K31" s="17"/>
    </row>
    <row r="32" spans="1:11">
      <c r="A32" s="8" t="str">
        <f>IF(A31&lt;A5,23,"")</f>
        <v/>
      </c>
      <c r="B32" s="22"/>
      <c r="C32" s="22"/>
      <c r="D32" s="22"/>
      <c r="E32" s="165"/>
      <c r="F32" s="165"/>
      <c r="G32" s="165"/>
      <c r="H32" s="165"/>
      <c r="I32" s="165"/>
      <c r="J32" s="165"/>
    </row>
    <row r="33" spans="1:10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</sheetData>
  <sheetProtection password="CC6D" sheet="1" objects="1" scenarios="1" selectLockedCells="1"/>
  <mergeCells count="59">
    <mergeCell ref="I32:J32"/>
    <mergeCell ref="H5:J5"/>
    <mergeCell ref="H3:J4"/>
    <mergeCell ref="E4:G4"/>
    <mergeCell ref="E5:G5"/>
    <mergeCell ref="C3:G3"/>
    <mergeCell ref="I28:J28"/>
    <mergeCell ref="I29:J29"/>
    <mergeCell ref="I30:J30"/>
    <mergeCell ref="I31:J31"/>
    <mergeCell ref="E13:H13"/>
    <mergeCell ref="E14:H14"/>
    <mergeCell ref="E15:H15"/>
    <mergeCell ref="E16:H16"/>
    <mergeCell ref="E17:H17"/>
    <mergeCell ref="E18:H18"/>
    <mergeCell ref="A1:J1"/>
    <mergeCell ref="A7:J7"/>
    <mergeCell ref="E10:H10"/>
    <mergeCell ref="E11:H11"/>
    <mergeCell ref="E12:H12"/>
    <mergeCell ref="E9:H9"/>
    <mergeCell ref="I9:J9"/>
    <mergeCell ref="I10:J10"/>
    <mergeCell ref="I11:J11"/>
    <mergeCell ref="I12:J12"/>
    <mergeCell ref="C4:D4"/>
    <mergeCell ref="A3:B4"/>
    <mergeCell ref="A5:B5"/>
    <mergeCell ref="C5:D5"/>
    <mergeCell ref="E19:H19"/>
    <mergeCell ref="E20:H20"/>
    <mergeCell ref="E21:H21"/>
    <mergeCell ref="I23:J23"/>
    <mergeCell ref="I24:J24"/>
    <mergeCell ref="E22:H22"/>
    <mergeCell ref="E23:H23"/>
    <mergeCell ref="E24:H24"/>
    <mergeCell ref="I25:J25"/>
    <mergeCell ref="I26:J26"/>
    <mergeCell ref="I27:J2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E25:H25"/>
    <mergeCell ref="E26:H26"/>
    <mergeCell ref="E30:H30"/>
    <mergeCell ref="E31:H31"/>
    <mergeCell ref="E32:H32"/>
    <mergeCell ref="E27:H27"/>
    <mergeCell ref="E28:H28"/>
    <mergeCell ref="E29:H29"/>
  </mergeCells>
  <conditionalFormatting sqref="A10:A32">
    <cfRule type="cellIs" dxfId="43" priority="1" operator="between">
      <formula>0</formula>
      <formula>$A$5</formula>
    </cfRule>
    <cfRule type="cellIs" dxfId="42" priority="11" operator="between">
      <formula>1</formula>
      <formula>$A$5</formula>
    </cfRule>
  </conditionalFormatting>
  <conditionalFormatting sqref="B10:C31">
    <cfRule type="cellIs" dxfId="41" priority="10" operator="greaterThan">
      <formula>0</formula>
    </cfRule>
  </conditionalFormatting>
  <conditionalFormatting sqref="D10:E31">
    <cfRule type="cellIs" dxfId="40" priority="9" operator="greaterThan">
      <formula>0</formula>
    </cfRule>
  </conditionalFormatting>
  <conditionalFormatting sqref="I9:J31">
    <cfRule type="cellIs" dxfId="39" priority="7" operator="greaterThan">
      <formula>0</formula>
    </cfRule>
  </conditionalFormatting>
  <conditionalFormatting sqref="E9:H31">
    <cfRule type="cellIs" dxfId="38" priority="6" operator="greaterThan">
      <formula>0</formula>
    </cfRule>
  </conditionalFormatting>
  <conditionalFormatting sqref="B32">
    <cfRule type="cellIs" dxfId="37" priority="5" operator="greaterThan">
      <formula>0</formula>
    </cfRule>
  </conditionalFormatting>
  <conditionalFormatting sqref="C32:E32 I32">
    <cfRule type="cellIs" dxfId="36" priority="4" operator="greaterThan">
      <formula>0</formula>
    </cfRule>
  </conditionalFormatting>
  <conditionalFormatting sqref="E32:H32">
    <cfRule type="cellIs" dxfId="35" priority="3" operator="greaterThan">
      <formula>0</formula>
    </cfRule>
  </conditionalFormatting>
  <conditionalFormatting sqref="I32:J32">
    <cfRule type="cellIs" dxfId="34" priority="2" operator="greaterThan">
      <formula>0</formula>
    </cfRule>
  </conditionalFormatting>
  <dataValidations count="1">
    <dataValidation type="whole" allowBlank="1" showInputMessage="1" showErrorMessage="1" sqref="A5:B5">
      <formula1>0</formula1>
      <formula2>23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view="pageLayout" workbookViewId="0">
      <selection activeCell="D6" sqref="D6"/>
    </sheetView>
  </sheetViews>
  <sheetFormatPr defaultRowHeight="15"/>
  <cols>
    <col min="1" max="5" width="17.28515625" style="1" customWidth="1"/>
    <col min="6" max="16384" width="9.140625" style="1"/>
  </cols>
  <sheetData>
    <row r="1" spans="1:9" ht="15.75">
      <c r="A1" s="127" t="s">
        <v>178</v>
      </c>
      <c r="B1" s="127"/>
      <c r="C1" s="127"/>
      <c r="D1" s="127"/>
      <c r="E1" s="127"/>
      <c r="F1" s="4"/>
      <c r="G1" s="4"/>
      <c r="H1" s="4"/>
      <c r="I1" s="4"/>
    </row>
    <row r="3" spans="1:9">
      <c r="A3" s="130" t="s">
        <v>161</v>
      </c>
      <c r="B3" s="130"/>
      <c r="C3" s="130"/>
      <c r="D3" s="130"/>
      <c r="E3" s="23">
        <v>6</v>
      </c>
      <c r="F3" s="3"/>
      <c r="G3" s="3"/>
    </row>
    <row r="5" spans="1:9" ht="30">
      <c r="A5" s="89" t="s">
        <v>162</v>
      </c>
      <c r="B5" s="90" t="s">
        <v>163</v>
      </c>
      <c r="C5" s="90" t="s">
        <v>164</v>
      </c>
      <c r="D5" s="90" t="s">
        <v>165</v>
      </c>
      <c r="E5" s="90" t="s">
        <v>166</v>
      </c>
    </row>
    <row r="6" spans="1:9">
      <c r="A6" s="19">
        <v>3</v>
      </c>
      <c r="B6" s="19">
        <v>2</v>
      </c>
      <c r="C6" s="19">
        <v>1</v>
      </c>
      <c r="D6" s="19">
        <v>0</v>
      </c>
      <c r="E6" s="19">
        <v>0</v>
      </c>
    </row>
  </sheetData>
  <sheetProtection password="CC6D" sheet="1" objects="1" scenarios="1" selectLockedCells="1"/>
  <mergeCells count="2">
    <mergeCell ref="A1:E1"/>
    <mergeCell ref="A3:D3"/>
  </mergeCells>
  <dataValidations count="2">
    <dataValidation type="whole" allowBlank="1" showErrorMessage="1" error="Введите либо 0, либо целое положительное число." sqref="A6:E6">
      <formula1>0</formula1>
      <formula2>10</formula2>
    </dataValidation>
    <dataValidation type="whole" allowBlank="1" showInputMessage="1" showErrorMessage="1" sqref="E3">
      <formula1>0</formula1>
      <formula2>A6+B6+C6+D6+E6</formula2>
    </dataValidation>
  </dataValidations>
  <pageMargins left="0.7" right="0.7" top="0.75" bottom="0.75" header="0.3" footer="0.3"/>
  <pageSetup paperSize="9" orientation="portrait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view="pageLayout" workbookViewId="0">
      <selection activeCell="H7" sqref="H7"/>
    </sheetView>
  </sheetViews>
  <sheetFormatPr defaultRowHeight="15"/>
  <cols>
    <col min="1" max="1" width="4" customWidth="1"/>
    <col min="2" max="2" width="15.85546875" customWidth="1"/>
    <col min="3" max="3" width="8.5703125" customWidth="1"/>
    <col min="4" max="4" width="7.42578125" customWidth="1"/>
    <col min="5" max="5" width="13.7109375" customWidth="1"/>
    <col min="6" max="6" width="32.42578125" customWidth="1"/>
    <col min="7" max="7" width="12.7109375" customWidth="1"/>
    <col min="8" max="8" width="11.42578125" customWidth="1"/>
    <col min="9" max="9" width="25" customWidth="1"/>
  </cols>
  <sheetData>
    <row r="1" spans="1:9" ht="15.75">
      <c r="A1" s="127" t="s">
        <v>345</v>
      </c>
      <c r="B1" s="127"/>
      <c r="C1" s="127"/>
      <c r="D1" s="127"/>
      <c r="E1" s="127"/>
      <c r="F1" s="127"/>
      <c r="G1" s="127"/>
      <c r="H1" s="127"/>
      <c r="I1" s="127"/>
    </row>
    <row r="2" spans="1:9" ht="12.75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9">
      <c r="A3" s="130" t="s">
        <v>191</v>
      </c>
      <c r="B3" s="130"/>
      <c r="C3" s="130"/>
      <c r="D3" s="23">
        <v>3</v>
      </c>
      <c r="E3" s="61"/>
      <c r="F3" s="25"/>
      <c r="G3" s="25"/>
      <c r="H3" s="25"/>
      <c r="I3" s="25"/>
    </row>
    <row r="4" spans="1:9" ht="12.75" customHeight="1">
      <c r="A4" s="24"/>
      <c r="B4" s="24"/>
      <c r="C4" s="24"/>
      <c r="D4" s="24"/>
      <c r="E4" s="24"/>
      <c r="F4" s="24"/>
      <c r="G4" s="24"/>
      <c r="H4" s="24"/>
      <c r="I4" s="24"/>
    </row>
    <row r="5" spans="1:9" ht="63" customHeight="1">
      <c r="A5" s="114" t="s">
        <v>180</v>
      </c>
      <c r="B5" s="114" t="s">
        <v>181</v>
      </c>
      <c r="C5" s="114" t="s">
        <v>182</v>
      </c>
      <c r="D5" s="114" t="s">
        <v>186</v>
      </c>
      <c r="E5" s="114" t="s">
        <v>192</v>
      </c>
      <c r="F5" s="114" t="s">
        <v>338</v>
      </c>
      <c r="G5" s="114" t="s">
        <v>193</v>
      </c>
      <c r="H5" s="114" t="s">
        <v>183</v>
      </c>
      <c r="I5" s="114" t="s">
        <v>185</v>
      </c>
    </row>
    <row r="6" spans="1:9" ht="127.5">
      <c r="A6" s="26">
        <f>IF(1&lt;=D3,1,"")</f>
        <v>1</v>
      </c>
      <c r="B6" s="121" t="s">
        <v>382</v>
      </c>
      <c r="C6" s="32">
        <v>25428</v>
      </c>
      <c r="D6" s="31">
        <f ca="1">IF(C6&gt;0,DATEDIF(C6,TODAY(),"y"),"")</f>
        <v>49</v>
      </c>
      <c r="E6" s="36" t="s">
        <v>383</v>
      </c>
      <c r="F6" s="122" t="s">
        <v>387</v>
      </c>
      <c r="G6" s="36">
        <v>3</v>
      </c>
      <c r="H6" s="32">
        <v>42598</v>
      </c>
      <c r="I6" s="29"/>
    </row>
    <row r="7" spans="1:9" ht="114.75">
      <c r="A7" s="26">
        <f>IF(A6&lt;D3,2,"")</f>
        <v>2</v>
      </c>
      <c r="B7" s="121" t="s">
        <v>384</v>
      </c>
      <c r="C7" s="32">
        <v>26436</v>
      </c>
      <c r="D7" s="31">
        <f t="shared" ref="D7:D15" ca="1" si="0">IF(C7&gt;0,DATEDIF(C7,TODAY(),"y"),"")</f>
        <v>47</v>
      </c>
      <c r="E7" s="36" t="s">
        <v>385</v>
      </c>
      <c r="F7" s="122" t="s">
        <v>409</v>
      </c>
      <c r="G7" s="36">
        <v>2</v>
      </c>
      <c r="H7" s="32">
        <v>42979</v>
      </c>
      <c r="I7" s="29"/>
    </row>
    <row r="8" spans="1:9" ht="76.5">
      <c r="A8" s="26">
        <f>IF(A7&lt;D3,3,"")</f>
        <v>3</v>
      </c>
      <c r="B8" s="121" t="s">
        <v>386</v>
      </c>
      <c r="C8" s="32">
        <v>24166</v>
      </c>
      <c r="D8" s="31">
        <f t="shared" ca="1" si="0"/>
        <v>53</v>
      </c>
      <c r="E8" s="36" t="s">
        <v>385</v>
      </c>
      <c r="F8" s="121" t="s">
        <v>388</v>
      </c>
      <c r="G8" s="36">
        <v>2</v>
      </c>
      <c r="H8" s="32">
        <v>42990</v>
      </c>
      <c r="I8" s="29"/>
    </row>
    <row r="9" spans="1:9">
      <c r="A9" s="27" t="str">
        <f>IF(A8&lt;D3,4,"")</f>
        <v/>
      </c>
      <c r="B9" s="30"/>
      <c r="C9" s="32"/>
      <c r="D9" s="31" t="str">
        <f t="shared" ca="1" si="0"/>
        <v/>
      </c>
      <c r="E9" s="36"/>
      <c r="F9" s="29"/>
      <c r="G9" s="36"/>
      <c r="H9" s="32"/>
      <c r="I9" s="29"/>
    </row>
    <row r="10" spans="1:9">
      <c r="A10" s="27" t="str">
        <f>IF(A9&lt;D3,5,"")</f>
        <v/>
      </c>
      <c r="B10" s="30"/>
      <c r="C10" s="32"/>
      <c r="D10" s="31" t="str">
        <f t="shared" ca="1" si="0"/>
        <v/>
      </c>
      <c r="E10" s="36"/>
      <c r="F10" s="29"/>
      <c r="G10" s="36"/>
      <c r="H10" s="32"/>
      <c r="I10" s="29"/>
    </row>
    <row r="11" spans="1:9">
      <c r="A11" s="27" t="str">
        <f>IF(A10&lt;D3,6,"")</f>
        <v/>
      </c>
      <c r="B11" s="30"/>
      <c r="C11" s="32"/>
      <c r="D11" s="31" t="str">
        <f t="shared" ca="1" si="0"/>
        <v/>
      </c>
      <c r="E11" s="36"/>
      <c r="F11" s="29"/>
      <c r="G11" s="36"/>
      <c r="H11" s="32"/>
      <c r="I11" s="29"/>
    </row>
    <row r="12" spans="1:9">
      <c r="A12" s="27" t="str">
        <f>IF(A11&lt;D3,7,"")</f>
        <v/>
      </c>
      <c r="B12" s="30"/>
      <c r="C12" s="32"/>
      <c r="D12" s="31" t="str">
        <f t="shared" ca="1" si="0"/>
        <v/>
      </c>
      <c r="E12" s="36"/>
      <c r="F12" s="29"/>
      <c r="G12" s="36"/>
      <c r="H12" s="32"/>
      <c r="I12" s="29"/>
    </row>
    <row r="13" spans="1:9">
      <c r="A13" s="27" t="str">
        <f>IF(A12&lt;D3,8,"")</f>
        <v/>
      </c>
      <c r="B13" s="30"/>
      <c r="C13" s="32"/>
      <c r="D13" s="31" t="str">
        <f t="shared" ca="1" si="0"/>
        <v/>
      </c>
      <c r="E13" s="36"/>
      <c r="F13" s="29"/>
      <c r="G13" s="36"/>
      <c r="H13" s="32"/>
      <c r="I13" s="29"/>
    </row>
    <row r="14" spans="1:9">
      <c r="A14" s="27" t="str">
        <f>IF(A13&lt;D3,9,"")</f>
        <v/>
      </c>
      <c r="B14" s="30"/>
      <c r="C14" s="33"/>
      <c r="D14" s="31" t="str">
        <f t="shared" ca="1" si="0"/>
        <v/>
      </c>
      <c r="E14" s="36"/>
      <c r="F14" s="29"/>
      <c r="G14" s="36"/>
      <c r="H14" s="32"/>
      <c r="I14" s="29"/>
    </row>
    <row r="15" spans="1:9">
      <c r="A15" s="27" t="str">
        <f>IF(A14&lt;D3,10,"")</f>
        <v/>
      </c>
      <c r="B15" s="30"/>
      <c r="C15" s="33"/>
      <c r="D15" s="31" t="str">
        <f t="shared" ca="1" si="0"/>
        <v/>
      </c>
      <c r="E15" s="36"/>
      <c r="F15" s="29"/>
      <c r="G15" s="36"/>
      <c r="H15" s="32"/>
      <c r="I15" s="29"/>
    </row>
    <row r="16" spans="1:9">
      <c r="A16" s="46"/>
      <c r="B16" s="47"/>
      <c r="C16" s="48"/>
      <c r="D16" s="49"/>
      <c r="E16" s="50"/>
      <c r="F16" s="51"/>
      <c r="G16" s="50"/>
      <c r="H16" s="52"/>
      <c r="I16" s="51"/>
    </row>
    <row r="17" spans="1:9">
      <c r="A17" s="46"/>
      <c r="B17" s="47"/>
      <c r="C17" s="48"/>
      <c r="D17" s="49"/>
      <c r="E17" s="50"/>
      <c r="F17" s="51"/>
      <c r="G17" s="50"/>
      <c r="H17" s="52"/>
      <c r="I17" s="51"/>
    </row>
    <row r="18" spans="1:9">
      <c r="A18" s="46"/>
      <c r="B18" s="47"/>
      <c r="C18" s="48"/>
      <c r="D18" s="49"/>
      <c r="E18" s="50"/>
      <c r="F18" s="51"/>
      <c r="G18" s="50"/>
      <c r="H18" s="52"/>
      <c r="I18" s="51"/>
    </row>
    <row r="19" spans="1:9">
      <c r="A19" s="46"/>
      <c r="B19" s="47"/>
      <c r="C19" s="48"/>
      <c r="D19" s="49"/>
      <c r="E19" s="50"/>
      <c r="F19" s="51"/>
      <c r="G19" s="50"/>
      <c r="H19" s="52"/>
      <c r="I19" s="51"/>
    </row>
    <row r="20" spans="1:9">
      <c r="A20" s="46"/>
      <c r="B20" s="47"/>
      <c r="C20" s="48"/>
      <c r="D20" s="49"/>
      <c r="E20" s="50"/>
      <c r="F20" s="51"/>
      <c r="G20" s="50"/>
      <c r="H20" s="52"/>
      <c r="I20" s="51"/>
    </row>
    <row r="21" spans="1:9">
      <c r="A21" s="46"/>
      <c r="B21" s="47"/>
      <c r="C21" s="48"/>
      <c r="D21" s="49"/>
      <c r="E21" s="50"/>
      <c r="F21" s="51"/>
      <c r="G21" s="50"/>
      <c r="H21" s="52"/>
      <c r="I21" s="51"/>
    </row>
    <row r="22" spans="1:9">
      <c r="A22" s="46"/>
      <c r="B22" s="47"/>
      <c r="C22" s="48"/>
      <c r="D22" s="49"/>
      <c r="E22" s="50"/>
      <c r="F22" s="51"/>
      <c r="G22" s="50"/>
      <c r="H22" s="52"/>
      <c r="I22" s="51"/>
    </row>
    <row r="23" spans="1:9">
      <c r="A23" s="46"/>
      <c r="B23" s="47"/>
      <c r="C23" s="48"/>
      <c r="D23" s="49"/>
      <c r="E23" s="50"/>
      <c r="F23" s="51"/>
      <c r="G23" s="50"/>
      <c r="H23" s="52"/>
      <c r="I23" s="51"/>
    </row>
    <row r="24" spans="1:9">
      <c r="A24" s="46"/>
      <c r="B24" s="47"/>
      <c r="C24" s="48"/>
      <c r="D24" s="49"/>
      <c r="E24" s="50"/>
      <c r="F24" s="51"/>
      <c r="G24" s="50"/>
      <c r="H24" s="52"/>
      <c r="I24" s="51"/>
    </row>
    <row r="25" spans="1:9">
      <c r="A25" s="46"/>
      <c r="B25" s="47"/>
      <c r="C25" s="48"/>
      <c r="D25" s="49"/>
      <c r="E25" s="50"/>
      <c r="F25" s="51"/>
      <c r="G25" s="50"/>
      <c r="H25" s="52"/>
      <c r="I25" s="51"/>
    </row>
    <row r="26" spans="1:9">
      <c r="A26" s="46"/>
      <c r="B26" s="47"/>
      <c r="C26" s="48"/>
      <c r="D26" s="49"/>
      <c r="E26" s="50"/>
      <c r="F26" s="51"/>
      <c r="G26" s="50"/>
      <c r="H26" s="52"/>
      <c r="I26" s="53"/>
    </row>
    <row r="27" spans="1:9">
      <c r="A27" s="46"/>
      <c r="B27" s="47"/>
      <c r="C27" s="52"/>
      <c r="D27" s="49"/>
      <c r="E27" s="50"/>
      <c r="F27" s="51"/>
      <c r="G27" s="50"/>
      <c r="H27" s="52"/>
      <c r="I27" s="53"/>
    </row>
    <row r="28" spans="1:9">
      <c r="A28" s="46"/>
      <c r="B28" s="47"/>
      <c r="C28" s="52"/>
      <c r="D28" s="49"/>
      <c r="E28" s="50"/>
      <c r="F28" s="51"/>
      <c r="G28" s="50"/>
      <c r="H28" s="52"/>
      <c r="I28" s="53"/>
    </row>
    <row r="29" spans="1:9">
      <c r="A29" s="46"/>
      <c r="B29" s="47"/>
      <c r="C29" s="52"/>
      <c r="D29" s="49"/>
      <c r="E29" s="50"/>
      <c r="F29" s="51"/>
      <c r="G29" s="50"/>
      <c r="H29" s="52"/>
      <c r="I29" s="53"/>
    </row>
    <row r="30" spans="1:9">
      <c r="A30" s="46"/>
      <c r="B30" s="47"/>
      <c r="C30" s="52"/>
      <c r="D30" s="49"/>
      <c r="E30" s="50"/>
      <c r="F30" s="51"/>
      <c r="G30" s="50"/>
      <c r="H30" s="52"/>
      <c r="I30" s="53"/>
    </row>
    <row r="31" spans="1:9">
      <c r="A31" s="46"/>
      <c r="B31" s="47"/>
      <c r="C31" s="52"/>
      <c r="D31" s="49"/>
      <c r="E31" s="50"/>
      <c r="F31" s="51"/>
      <c r="G31" s="50"/>
      <c r="H31" s="52"/>
      <c r="I31" s="53"/>
    </row>
    <row r="32" spans="1:9">
      <c r="A32" s="46"/>
      <c r="B32" s="47"/>
      <c r="C32" s="52"/>
      <c r="D32" s="49"/>
      <c r="E32" s="50"/>
      <c r="F32" s="51"/>
      <c r="G32" s="50"/>
      <c r="H32" s="52"/>
      <c r="I32" s="53"/>
    </row>
    <row r="33" spans="1:9">
      <c r="A33" s="54"/>
      <c r="B33" s="54"/>
      <c r="C33" s="54"/>
      <c r="D33" s="54"/>
      <c r="E33" s="54"/>
      <c r="F33" s="54"/>
      <c r="G33" s="54"/>
      <c r="H33" s="54"/>
      <c r="I33" s="54"/>
    </row>
    <row r="34" spans="1:9">
      <c r="A34" s="54"/>
      <c r="B34" s="54"/>
      <c r="C34" s="54"/>
      <c r="D34" s="54"/>
      <c r="E34" s="54"/>
      <c r="F34" s="54"/>
      <c r="G34" s="54"/>
      <c r="H34" s="54"/>
      <c r="I34" s="54"/>
    </row>
    <row r="35" spans="1:9">
      <c r="A35" s="54"/>
      <c r="B35" s="54"/>
      <c r="C35" s="54"/>
      <c r="D35" s="54"/>
      <c r="E35" s="54"/>
      <c r="F35" s="54"/>
      <c r="G35" s="54"/>
      <c r="H35" s="54"/>
      <c r="I35" s="54"/>
    </row>
    <row r="36" spans="1:9">
      <c r="A36" s="54"/>
      <c r="B36" s="54"/>
      <c r="C36" s="54"/>
      <c r="D36" s="54"/>
      <c r="E36" s="54"/>
      <c r="F36" s="54"/>
      <c r="G36" s="54"/>
      <c r="H36" s="54"/>
      <c r="I36" s="54"/>
    </row>
    <row r="37" spans="1:9">
      <c r="A37" s="54"/>
      <c r="B37" s="54"/>
      <c r="C37" s="54"/>
      <c r="D37" s="54"/>
      <c r="E37" s="54"/>
      <c r="F37" s="54"/>
      <c r="G37" s="54"/>
      <c r="H37" s="54"/>
      <c r="I37" s="54"/>
    </row>
    <row r="38" spans="1:9">
      <c r="A38" s="54"/>
      <c r="B38" s="54"/>
      <c r="C38" s="54"/>
      <c r="D38" s="54"/>
      <c r="E38" s="54"/>
      <c r="F38" s="54"/>
      <c r="G38" s="54"/>
      <c r="H38" s="54"/>
      <c r="I38" s="54"/>
    </row>
    <row r="39" spans="1:9">
      <c r="A39" s="54"/>
      <c r="B39" s="54"/>
      <c r="C39" s="54"/>
      <c r="D39" s="54"/>
      <c r="E39" s="54"/>
      <c r="F39" s="54"/>
      <c r="G39" s="54"/>
      <c r="H39" s="54"/>
      <c r="I39" s="54"/>
    </row>
    <row r="40" spans="1:9">
      <c r="A40" s="54"/>
      <c r="B40" s="54"/>
      <c r="C40" s="54"/>
      <c r="D40" s="54"/>
      <c r="E40" s="54"/>
      <c r="F40" s="54"/>
      <c r="G40" s="54"/>
      <c r="H40" s="54"/>
      <c r="I40" s="54"/>
    </row>
    <row r="41" spans="1:9">
      <c r="A41" s="54"/>
      <c r="B41" s="54"/>
      <c r="C41" s="54"/>
      <c r="D41" s="54"/>
      <c r="E41" s="54"/>
      <c r="F41" s="54"/>
      <c r="G41" s="54"/>
      <c r="H41" s="54"/>
      <c r="I41" s="54"/>
    </row>
    <row r="42" spans="1:9">
      <c r="A42" s="54"/>
      <c r="B42" s="54"/>
      <c r="C42" s="54"/>
      <c r="D42" s="54"/>
      <c r="E42" s="54"/>
      <c r="F42" s="54"/>
      <c r="G42" s="54"/>
      <c r="H42" s="54"/>
      <c r="I42" s="54"/>
    </row>
    <row r="43" spans="1:9">
      <c r="A43" s="54"/>
      <c r="B43" s="54"/>
      <c r="C43" s="54"/>
      <c r="D43" s="54"/>
      <c r="E43" s="54"/>
      <c r="F43" s="54"/>
      <c r="G43" s="54"/>
      <c r="H43" s="54"/>
      <c r="I43" s="54"/>
    </row>
  </sheetData>
  <sheetProtection password="CC6D" sheet="1" objects="1" scenarios="1" selectLockedCells="1"/>
  <mergeCells count="2">
    <mergeCell ref="A1:I1"/>
    <mergeCell ref="A3:C3"/>
  </mergeCells>
  <conditionalFormatting sqref="B6:C15 B30:C32 E6:I15 E30:I32">
    <cfRule type="cellIs" dxfId="33" priority="5" operator="greaterThan">
      <formula>0</formula>
    </cfRule>
  </conditionalFormatting>
  <conditionalFormatting sqref="D6:D15 D30:D32">
    <cfRule type="cellIs" dxfId="32" priority="3" operator="between">
      <formula>1</formula>
      <formula>99</formula>
    </cfRule>
  </conditionalFormatting>
  <conditionalFormatting sqref="A6:A15">
    <cfRule type="cellIs" dxfId="31" priority="1" operator="between">
      <formula>0</formula>
      <formula>$D$3</formula>
    </cfRule>
  </conditionalFormatting>
  <dataValidations count="5">
    <dataValidation type="date" allowBlank="1" showErrorMessage="1" error="Введите дату рождения в формате &quot;день.месяц.год&quot;." sqref="C6:C25">
      <formula1>1</formula1>
      <formula2>37621</formula2>
    </dataValidation>
    <dataValidation type="whole" allowBlank="1" showErrorMessage="1" error="Введите либо 0, либо целое положительное число." sqref="D3:E3">
      <formula1>0</formula1>
      <formula2>10</formula2>
    </dataValidation>
    <dataValidation type="decimal" allowBlank="1" showErrorMessage="1" error="Введите стаж педагогической работы преподавателя в формате &quot;Кол-во лет&quot;." sqref="G6:G32">
      <formula1>0</formula1>
      <formula2>80</formula2>
    </dataValidation>
    <dataValidation type="date" allowBlank="1" showErrorMessage="1" error="Введите дату начала работы в данном учреждении в формате &quot;день.месяц.год&quot;." sqref="H6:H32">
      <formula1>1</formula1>
      <formula2>43616</formula2>
    </dataValidation>
    <dataValidation type="list" allowBlank="1" showErrorMessage="1" sqref="E6:E15">
      <formula1>"Директор, Заместитель директора"</formula1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4"/>
  <sheetViews>
    <sheetView view="pageLayout" workbookViewId="0">
      <selection activeCell="B32" sqref="B32"/>
    </sheetView>
  </sheetViews>
  <sheetFormatPr defaultRowHeight="12.75"/>
  <cols>
    <col min="1" max="1" width="4" style="24" customWidth="1"/>
    <col min="2" max="2" width="15.85546875" style="24" customWidth="1"/>
    <col min="3" max="3" width="8.7109375" style="24" customWidth="1"/>
    <col min="4" max="4" width="7.28515625" style="24" customWidth="1"/>
    <col min="5" max="5" width="13.7109375" style="24" customWidth="1"/>
    <col min="6" max="6" width="25.28515625" style="24" customWidth="1"/>
    <col min="7" max="7" width="15.42578125" style="24" customWidth="1"/>
    <col min="8" max="8" width="11.42578125" style="24" customWidth="1"/>
    <col min="9" max="9" width="9.42578125" style="24" customWidth="1"/>
    <col min="10" max="10" width="20" style="24" customWidth="1"/>
    <col min="11" max="16384" width="9.140625" style="24"/>
  </cols>
  <sheetData>
    <row r="1" spans="1:10" ht="15.75">
      <c r="A1" s="127" t="s">
        <v>346</v>
      </c>
      <c r="B1" s="127"/>
      <c r="C1" s="127"/>
      <c r="D1" s="127"/>
      <c r="E1" s="127"/>
      <c r="F1" s="127"/>
      <c r="G1" s="127"/>
      <c r="H1" s="127"/>
      <c r="I1" s="127"/>
      <c r="J1" s="127"/>
    </row>
    <row r="3" spans="1:10" ht="15">
      <c r="A3" s="130" t="s">
        <v>179</v>
      </c>
      <c r="B3" s="130"/>
      <c r="C3" s="130"/>
      <c r="D3" s="35">
        <v>28</v>
      </c>
      <c r="E3" s="25"/>
      <c r="F3" s="25"/>
      <c r="G3" s="25"/>
      <c r="H3" s="25"/>
      <c r="I3" s="25"/>
      <c r="J3" s="25"/>
    </row>
    <row r="5" spans="1:10" ht="75" customHeight="1">
      <c r="A5" s="114" t="s">
        <v>180</v>
      </c>
      <c r="B5" s="114" t="s">
        <v>181</v>
      </c>
      <c r="C5" s="114" t="s">
        <v>182</v>
      </c>
      <c r="D5" s="114" t="s">
        <v>186</v>
      </c>
      <c r="E5" s="114" t="s">
        <v>188</v>
      </c>
      <c r="F5" s="114" t="s">
        <v>338</v>
      </c>
      <c r="G5" s="114" t="s">
        <v>189</v>
      </c>
      <c r="H5" s="114" t="s">
        <v>183</v>
      </c>
      <c r="I5" s="114" t="s">
        <v>184</v>
      </c>
      <c r="J5" s="114" t="s">
        <v>185</v>
      </c>
    </row>
    <row r="6" spans="1:10" ht="165.75">
      <c r="A6" s="26">
        <f>IF(1&lt;=D3,1,"")</f>
        <v>1</v>
      </c>
      <c r="B6" s="122" t="s">
        <v>366</v>
      </c>
      <c r="C6" s="32">
        <v>25428</v>
      </c>
      <c r="D6" s="31">
        <f ca="1">IF(C6&gt;0,DATEDIF(C6,TODAY(),"y"),"")</f>
        <v>49</v>
      </c>
      <c r="E6" s="36" t="s">
        <v>406</v>
      </c>
      <c r="F6" s="122" t="s">
        <v>387</v>
      </c>
      <c r="G6" s="36">
        <v>27</v>
      </c>
      <c r="H6" s="32">
        <v>42614</v>
      </c>
      <c r="I6" s="36" t="s">
        <v>405</v>
      </c>
      <c r="J6" s="37"/>
    </row>
    <row r="7" spans="1:10" ht="165.75">
      <c r="A7" s="26">
        <f>IF(A6&lt;D3,2,"")</f>
        <v>2</v>
      </c>
      <c r="B7" s="122" t="s">
        <v>384</v>
      </c>
      <c r="C7" s="32">
        <v>26436</v>
      </c>
      <c r="D7" s="31">
        <f t="shared" ref="D7:D70" ca="1" si="0">IF(C7&gt;0,DATEDIF(C7,TODAY(),"y"),"")</f>
        <v>47</v>
      </c>
      <c r="E7" s="36" t="s">
        <v>407</v>
      </c>
      <c r="F7" s="122" t="s">
        <v>409</v>
      </c>
      <c r="G7" s="36">
        <v>28</v>
      </c>
      <c r="H7" s="32">
        <v>41883</v>
      </c>
      <c r="I7" s="36" t="s">
        <v>408</v>
      </c>
      <c r="J7" s="37"/>
    </row>
    <row r="8" spans="1:10" ht="178.5">
      <c r="A8" s="26">
        <f>IF(A7&lt;D3,3,"")</f>
        <v>3</v>
      </c>
      <c r="B8" s="122" t="s">
        <v>403</v>
      </c>
      <c r="C8" s="32">
        <v>30788</v>
      </c>
      <c r="D8" s="31">
        <f t="shared" ca="1" si="0"/>
        <v>35</v>
      </c>
      <c r="E8" s="36" t="s">
        <v>254</v>
      </c>
      <c r="F8" s="122" t="s">
        <v>410</v>
      </c>
      <c r="G8" s="36">
        <v>17</v>
      </c>
      <c r="H8" s="32">
        <v>37501</v>
      </c>
      <c r="I8" s="36" t="s">
        <v>404</v>
      </c>
      <c r="J8" s="37"/>
    </row>
    <row r="9" spans="1:10" ht="229.5">
      <c r="A9" s="27">
        <f>IF(A8&lt;D3,4,"")</f>
        <v>4</v>
      </c>
      <c r="B9" s="123" t="s">
        <v>411</v>
      </c>
      <c r="C9" s="32">
        <v>21326</v>
      </c>
      <c r="D9" s="31">
        <f t="shared" ca="1" si="0"/>
        <v>61</v>
      </c>
      <c r="E9" s="36" t="s">
        <v>412</v>
      </c>
      <c r="F9" s="122" t="s">
        <v>413</v>
      </c>
      <c r="G9" s="36">
        <v>37</v>
      </c>
      <c r="H9" s="32">
        <v>38961</v>
      </c>
      <c r="I9" s="36" t="s">
        <v>408</v>
      </c>
      <c r="J9" s="37"/>
    </row>
    <row r="10" spans="1:10" ht="153">
      <c r="A10" s="27">
        <f>IF(A9&lt;D3,5,"")</f>
        <v>5</v>
      </c>
      <c r="B10" s="123" t="s">
        <v>414</v>
      </c>
      <c r="C10" s="32">
        <v>21382</v>
      </c>
      <c r="D10" s="31">
        <f t="shared" ca="1" si="0"/>
        <v>60</v>
      </c>
      <c r="E10" s="36" t="s">
        <v>406</v>
      </c>
      <c r="F10" s="122" t="s">
        <v>415</v>
      </c>
      <c r="G10" s="36">
        <v>44</v>
      </c>
      <c r="H10" s="32">
        <v>30376</v>
      </c>
      <c r="I10" s="36" t="s">
        <v>405</v>
      </c>
      <c r="J10" s="37"/>
    </row>
    <row r="11" spans="1:10" ht="51">
      <c r="A11" s="27">
        <f>IF(A10&lt;D3,6,"")</f>
        <v>6</v>
      </c>
      <c r="B11" s="123" t="s">
        <v>416</v>
      </c>
      <c r="C11" s="32">
        <v>16637</v>
      </c>
      <c r="D11" s="31">
        <f t="shared" ca="1" si="0"/>
        <v>73</v>
      </c>
      <c r="E11" s="36" t="s">
        <v>417</v>
      </c>
      <c r="F11" s="122" t="s">
        <v>418</v>
      </c>
      <c r="G11" s="36">
        <v>26</v>
      </c>
      <c r="H11" s="32">
        <v>34031</v>
      </c>
      <c r="I11" s="36" t="s">
        <v>405</v>
      </c>
      <c r="J11" s="37"/>
    </row>
    <row r="12" spans="1:10" ht="165.75">
      <c r="A12" s="27">
        <f>IF(A11&lt;D3,7,"")</f>
        <v>7</v>
      </c>
      <c r="B12" s="123" t="s">
        <v>419</v>
      </c>
      <c r="C12" s="32">
        <v>22681</v>
      </c>
      <c r="D12" s="31">
        <f t="shared" ca="1" si="0"/>
        <v>57</v>
      </c>
      <c r="E12" s="36" t="s">
        <v>407</v>
      </c>
      <c r="F12" s="122" t="s">
        <v>420</v>
      </c>
      <c r="G12" s="36">
        <v>34</v>
      </c>
      <c r="H12" s="32">
        <v>30926</v>
      </c>
      <c r="I12" s="36" t="s">
        <v>408</v>
      </c>
      <c r="J12" s="37"/>
    </row>
    <row r="13" spans="1:10" ht="153">
      <c r="A13" s="27">
        <f>IF(A12&lt;D3,8,"")</f>
        <v>8</v>
      </c>
      <c r="B13" s="123" t="s">
        <v>422</v>
      </c>
      <c r="C13" s="32">
        <v>20646</v>
      </c>
      <c r="D13" s="31">
        <f t="shared" ca="1" si="0"/>
        <v>62</v>
      </c>
      <c r="E13" s="36" t="s">
        <v>421</v>
      </c>
      <c r="F13" s="125" t="s">
        <v>477</v>
      </c>
      <c r="G13" s="36">
        <v>7</v>
      </c>
      <c r="H13" s="32">
        <v>42979</v>
      </c>
      <c r="I13" s="36" t="s">
        <v>405</v>
      </c>
      <c r="J13" s="37"/>
    </row>
    <row r="14" spans="1:10" ht="153">
      <c r="A14" s="27">
        <f>IF(A13&lt;D3,9,"")</f>
        <v>9</v>
      </c>
      <c r="B14" s="123" t="s">
        <v>423</v>
      </c>
      <c r="C14" s="33">
        <v>29775</v>
      </c>
      <c r="D14" s="31">
        <f t="shared" ca="1" si="0"/>
        <v>37</v>
      </c>
      <c r="E14" s="36" t="s">
        <v>407</v>
      </c>
      <c r="F14" s="122" t="s">
        <v>424</v>
      </c>
      <c r="G14" s="36">
        <v>20</v>
      </c>
      <c r="H14" s="32">
        <v>36770</v>
      </c>
      <c r="I14" s="36" t="s">
        <v>404</v>
      </c>
      <c r="J14" s="37"/>
    </row>
    <row r="15" spans="1:10" ht="114.75">
      <c r="A15" s="27">
        <f>IF(A14&lt;D3,10,"")</f>
        <v>10</v>
      </c>
      <c r="B15" s="123" t="s">
        <v>425</v>
      </c>
      <c r="C15" s="33">
        <v>19707</v>
      </c>
      <c r="D15" s="31">
        <f t="shared" ca="1" si="0"/>
        <v>65</v>
      </c>
      <c r="E15" s="36" t="s">
        <v>406</v>
      </c>
      <c r="F15" s="122" t="s">
        <v>428</v>
      </c>
      <c r="G15" s="36">
        <v>39</v>
      </c>
      <c r="H15" s="32">
        <v>34578</v>
      </c>
      <c r="I15" s="36" t="s">
        <v>405</v>
      </c>
      <c r="J15" s="37"/>
    </row>
    <row r="16" spans="1:10" ht="178.5">
      <c r="A16" s="27">
        <f>IF(A15&lt;D3,11,"")</f>
        <v>11</v>
      </c>
      <c r="B16" s="123" t="s">
        <v>426</v>
      </c>
      <c r="C16" s="33">
        <v>33017</v>
      </c>
      <c r="D16" s="31">
        <f t="shared" ca="1" si="0"/>
        <v>29</v>
      </c>
      <c r="E16" s="36" t="s">
        <v>406</v>
      </c>
      <c r="F16" s="122" t="s">
        <v>429</v>
      </c>
      <c r="G16" s="36">
        <v>8</v>
      </c>
      <c r="H16" s="32">
        <v>40787</v>
      </c>
      <c r="I16" s="36" t="s">
        <v>405</v>
      </c>
      <c r="J16" s="37"/>
    </row>
    <row r="17" spans="1:10" ht="165.75">
      <c r="A17" s="27">
        <f>IF(A16&lt;D3,12,"")</f>
        <v>12</v>
      </c>
      <c r="B17" s="123" t="s">
        <v>430</v>
      </c>
      <c r="C17" s="33">
        <v>29264</v>
      </c>
      <c r="D17" s="31">
        <f t="shared" ca="1" si="0"/>
        <v>39</v>
      </c>
      <c r="E17" s="36" t="s">
        <v>406</v>
      </c>
      <c r="F17" s="122" t="s">
        <v>431</v>
      </c>
      <c r="G17" s="36">
        <v>12</v>
      </c>
      <c r="H17" s="32">
        <v>42979</v>
      </c>
      <c r="I17" s="36" t="s">
        <v>405</v>
      </c>
      <c r="J17" s="37"/>
    </row>
    <row r="18" spans="1:10" ht="331.5">
      <c r="A18" s="27">
        <f>IF(A17&lt;D3,13,"")</f>
        <v>13</v>
      </c>
      <c r="B18" s="123" t="s">
        <v>432</v>
      </c>
      <c r="C18" s="33">
        <v>29905</v>
      </c>
      <c r="D18" s="31">
        <f t="shared" ca="1" si="0"/>
        <v>37</v>
      </c>
      <c r="E18" s="36" t="s">
        <v>406</v>
      </c>
      <c r="F18" s="122" t="s">
        <v>433</v>
      </c>
      <c r="G18" s="36">
        <v>17</v>
      </c>
      <c r="H18" s="32">
        <v>42780</v>
      </c>
      <c r="I18" s="36" t="s">
        <v>405</v>
      </c>
      <c r="J18" s="37"/>
    </row>
    <row r="19" spans="1:10">
      <c r="A19" s="27">
        <f>IF(A18&lt;D3,14,"")</f>
        <v>14</v>
      </c>
      <c r="B19" s="123"/>
      <c r="C19" s="33"/>
      <c r="D19" s="31" t="str">
        <f t="shared" ca="1" si="0"/>
        <v/>
      </c>
      <c r="E19" s="36"/>
      <c r="F19" s="122"/>
      <c r="G19" s="36"/>
      <c r="H19" s="32"/>
      <c r="I19" s="36"/>
      <c r="J19" s="37"/>
    </row>
    <row r="20" spans="1:10">
      <c r="A20" s="27">
        <f>IF(A19&lt;D3,15,"")</f>
        <v>15</v>
      </c>
      <c r="B20" s="123"/>
      <c r="C20" s="33"/>
      <c r="D20" s="31" t="str">
        <f t="shared" ca="1" si="0"/>
        <v/>
      </c>
      <c r="E20" s="36"/>
      <c r="F20" s="122"/>
      <c r="G20" s="36"/>
      <c r="H20" s="32"/>
      <c r="I20" s="36"/>
      <c r="J20" s="37"/>
    </row>
    <row r="21" spans="1:10" ht="255">
      <c r="A21" s="27">
        <f>IF(A20&lt;D3,16,"")</f>
        <v>16</v>
      </c>
      <c r="B21" s="123" t="s">
        <v>434</v>
      </c>
      <c r="C21" s="33">
        <v>20627</v>
      </c>
      <c r="D21" s="31">
        <f t="shared" ca="1" si="0"/>
        <v>62</v>
      </c>
      <c r="E21" s="36" t="s">
        <v>406</v>
      </c>
      <c r="F21" s="122" t="s">
        <v>435</v>
      </c>
      <c r="G21" s="36">
        <v>44</v>
      </c>
      <c r="H21" s="32">
        <v>34562</v>
      </c>
      <c r="I21" s="36" t="s">
        <v>408</v>
      </c>
      <c r="J21" s="37"/>
    </row>
    <row r="22" spans="1:10" ht="165.75">
      <c r="A22" s="27">
        <f>IF(A21&lt;D3,17,"")</f>
        <v>17</v>
      </c>
      <c r="B22" s="123" t="s">
        <v>436</v>
      </c>
      <c r="C22" s="33">
        <v>25465</v>
      </c>
      <c r="D22" s="31">
        <f t="shared" ca="1" si="0"/>
        <v>49</v>
      </c>
      <c r="E22" s="36" t="s">
        <v>252</v>
      </c>
      <c r="F22" s="122" t="s">
        <v>437</v>
      </c>
      <c r="G22" s="36">
        <v>23</v>
      </c>
      <c r="H22" s="32">
        <v>35704</v>
      </c>
      <c r="I22" s="36" t="s">
        <v>408</v>
      </c>
      <c r="J22" s="37"/>
    </row>
    <row r="23" spans="1:10" ht="76.5">
      <c r="A23" s="27">
        <f>IF(A22&lt;D3,18,"")</f>
        <v>18</v>
      </c>
      <c r="B23" s="126" t="s">
        <v>440</v>
      </c>
      <c r="C23" s="33">
        <v>22922</v>
      </c>
      <c r="D23" s="31">
        <f t="shared" ca="1" si="0"/>
        <v>56</v>
      </c>
      <c r="E23" s="36" t="s">
        <v>406</v>
      </c>
      <c r="F23" s="125" t="s">
        <v>441</v>
      </c>
      <c r="G23" s="36">
        <v>26</v>
      </c>
      <c r="H23" s="32">
        <v>36404</v>
      </c>
      <c r="I23" s="36" t="s">
        <v>405</v>
      </c>
      <c r="J23" s="37"/>
    </row>
    <row r="24" spans="1:10" ht="165.75">
      <c r="A24" s="27">
        <f>IF(A23&lt;D3,19,"")</f>
        <v>19</v>
      </c>
      <c r="B24" s="126" t="s">
        <v>442</v>
      </c>
      <c r="C24" s="33">
        <v>26467</v>
      </c>
      <c r="D24" s="31">
        <f t="shared" ca="1" si="0"/>
        <v>46</v>
      </c>
      <c r="E24" s="36" t="s">
        <v>406</v>
      </c>
      <c r="F24" s="125" t="s">
        <v>443</v>
      </c>
      <c r="G24" s="36">
        <v>23</v>
      </c>
      <c r="H24" s="32">
        <v>38313</v>
      </c>
      <c r="I24" s="36" t="s">
        <v>408</v>
      </c>
      <c r="J24" s="37"/>
    </row>
    <row r="25" spans="1:10" ht="127.5">
      <c r="A25" s="27">
        <f>IF(A24&lt;D3,20,"")</f>
        <v>20</v>
      </c>
      <c r="B25" s="126" t="s">
        <v>444</v>
      </c>
      <c r="C25" s="33">
        <v>18448</v>
      </c>
      <c r="D25" s="31">
        <f t="shared" ca="1" si="0"/>
        <v>68</v>
      </c>
      <c r="E25" s="36" t="s">
        <v>252</v>
      </c>
      <c r="F25" s="125" t="s">
        <v>445</v>
      </c>
      <c r="G25" s="36">
        <v>47</v>
      </c>
      <c r="H25" s="32">
        <v>29096</v>
      </c>
      <c r="I25" s="36" t="s">
        <v>405</v>
      </c>
      <c r="J25" s="37"/>
    </row>
    <row r="26" spans="1:10" ht="76.5">
      <c r="A26" s="27">
        <f>IF(A25&lt;D3,21,"")</f>
        <v>21</v>
      </c>
      <c r="B26" s="126" t="s">
        <v>446</v>
      </c>
      <c r="C26" s="33">
        <v>22208</v>
      </c>
      <c r="D26" s="31">
        <f t="shared" ca="1" si="0"/>
        <v>58</v>
      </c>
      <c r="E26" s="36" t="s">
        <v>406</v>
      </c>
      <c r="F26" s="125" t="s">
        <v>447</v>
      </c>
      <c r="G26" s="36">
        <v>33</v>
      </c>
      <c r="H26" s="32">
        <v>40422</v>
      </c>
      <c r="I26" s="36" t="s">
        <v>404</v>
      </c>
      <c r="J26" s="37"/>
    </row>
    <row r="27" spans="1:10" ht="255">
      <c r="A27" s="27">
        <f>IF(A26&lt;D3,22,"")</f>
        <v>22</v>
      </c>
      <c r="B27" s="126" t="s">
        <v>448</v>
      </c>
      <c r="C27" s="32">
        <v>21454</v>
      </c>
      <c r="D27" s="31">
        <f t="shared" ca="1" si="0"/>
        <v>60</v>
      </c>
      <c r="E27" s="36" t="s">
        <v>412</v>
      </c>
      <c r="F27" s="125" t="s">
        <v>478</v>
      </c>
      <c r="G27" s="36">
        <v>38</v>
      </c>
      <c r="H27" s="32">
        <v>34939</v>
      </c>
      <c r="I27" s="36" t="s">
        <v>408</v>
      </c>
      <c r="J27" s="37"/>
    </row>
    <row r="28" spans="1:10" ht="76.5">
      <c r="A28" s="27">
        <f>IF(A27&lt;D3,23,"")</f>
        <v>23</v>
      </c>
      <c r="B28" s="126" t="s">
        <v>449</v>
      </c>
      <c r="C28" s="32">
        <v>22304</v>
      </c>
      <c r="D28" s="31">
        <f t="shared" ca="1" si="0"/>
        <v>58</v>
      </c>
      <c r="E28" s="36" t="s">
        <v>406</v>
      </c>
      <c r="F28" s="125" t="s">
        <v>481</v>
      </c>
      <c r="G28" s="36">
        <v>34</v>
      </c>
      <c r="H28" s="32">
        <v>37571</v>
      </c>
      <c r="I28" s="36" t="s">
        <v>405</v>
      </c>
      <c r="J28" s="37"/>
    </row>
    <row r="29" spans="1:10" ht="127.5">
      <c r="A29" s="27">
        <f>IF(A28&lt;D3,24,"")</f>
        <v>24</v>
      </c>
      <c r="B29" s="126" t="s">
        <v>450</v>
      </c>
      <c r="C29" s="32">
        <v>19363</v>
      </c>
      <c r="D29" s="31">
        <f t="shared" ca="1" si="0"/>
        <v>66</v>
      </c>
      <c r="E29" s="36" t="s">
        <v>406</v>
      </c>
      <c r="F29" s="125" t="s">
        <v>479</v>
      </c>
      <c r="G29" s="36">
        <v>45</v>
      </c>
      <c r="H29" s="32">
        <v>43344</v>
      </c>
      <c r="I29" s="36" t="s">
        <v>408</v>
      </c>
      <c r="J29" s="37"/>
    </row>
    <row r="30" spans="1:10" ht="140.25">
      <c r="A30" s="27">
        <f>IF(A29&lt;D3,25,"")</f>
        <v>25</v>
      </c>
      <c r="B30" s="126" t="s">
        <v>451</v>
      </c>
      <c r="C30" s="32">
        <v>26663</v>
      </c>
      <c r="D30" s="31">
        <f t="shared" ca="1" si="0"/>
        <v>46</v>
      </c>
      <c r="E30" s="36" t="s">
        <v>452</v>
      </c>
      <c r="F30" s="125" t="s">
        <v>453</v>
      </c>
      <c r="G30" s="36">
        <v>26</v>
      </c>
      <c r="H30" s="32">
        <v>43344</v>
      </c>
      <c r="I30" s="36" t="s">
        <v>408</v>
      </c>
      <c r="J30" s="37"/>
    </row>
    <row r="31" spans="1:10" ht="114.75">
      <c r="A31" s="27">
        <f>IF(A30&lt;D3,26,"")</f>
        <v>26</v>
      </c>
      <c r="B31" s="126" t="s">
        <v>454</v>
      </c>
      <c r="C31" s="32">
        <v>35271</v>
      </c>
      <c r="D31" s="31">
        <f t="shared" ca="1" si="0"/>
        <v>22</v>
      </c>
      <c r="E31" s="36" t="s">
        <v>255</v>
      </c>
      <c r="F31" s="125" t="s">
        <v>456</v>
      </c>
      <c r="G31" s="36">
        <v>1</v>
      </c>
      <c r="H31" s="32">
        <v>43344</v>
      </c>
      <c r="I31" s="36" t="s">
        <v>405</v>
      </c>
      <c r="J31" s="37"/>
    </row>
    <row r="32" spans="1:10" ht="216.75">
      <c r="A32" s="27">
        <f>IF(A31&lt;D3,27,"")</f>
        <v>27</v>
      </c>
      <c r="B32" s="126" t="s">
        <v>455</v>
      </c>
      <c r="C32" s="32">
        <v>33010</v>
      </c>
      <c r="D32" s="31">
        <f t="shared" ca="1" si="0"/>
        <v>29</v>
      </c>
      <c r="E32" s="36" t="s">
        <v>417</v>
      </c>
      <c r="F32" s="125" t="s">
        <v>457</v>
      </c>
      <c r="G32" s="36">
        <v>6</v>
      </c>
      <c r="H32" s="32">
        <v>43344</v>
      </c>
      <c r="I32" s="36" t="s">
        <v>404</v>
      </c>
      <c r="J32" s="37"/>
    </row>
    <row r="33" spans="1:10" ht="191.25">
      <c r="A33" s="27">
        <f>IF(A32&lt;D3,28,"")</f>
        <v>28</v>
      </c>
      <c r="B33" s="126" t="s">
        <v>458</v>
      </c>
      <c r="C33" s="32">
        <v>26745</v>
      </c>
      <c r="D33" s="31">
        <f t="shared" ca="1" si="0"/>
        <v>46</v>
      </c>
      <c r="E33" s="36" t="s">
        <v>254</v>
      </c>
      <c r="F33" s="125" t="s">
        <v>459</v>
      </c>
      <c r="G33" s="36">
        <v>23</v>
      </c>
      <c r="H33" s="32">
        <v>43344</v>
      </c>
      <c r="I33" s="36" t="s">
        <v>408</v>
      </c>
      <c r="J33" s="37"/>
    </row>
    <row r="34" spans="1:10" ht="102">
      <c r="A34" s="27" t="str">
        <f>IF(A33&lt;D3,29,"")</f>
        <v/>
      </c>
      <c r="B34" s="126" t="s">
        <v>460</v>
      </c>
      <c r="C34" s="32">
        <v>19422</v>
      </c>
      <c r="D34" s="31">
        <f t="shared" ca="1" si="0"/>
        <v>66</v>
      </c>
      <c r="E34" s="36" t="s">
        <v>237</v>
      </c>
      <c r="F34" s="125" t="s">
        <v>461</v>
      </c>
      <c r="G34" s="36">
        <v>41</v>
      </c>
      <c r="H34" s="32">
        <v>43344</v>
      </c>
      <c r="I34" s="36" t="s">
        <v>404</v>
      </c>
      <c r="J34" s="37"/>
    </row>
    <row r="35" spans="1:10" ht="76.5">
      <c r="A35" s="27" t="str">
        <f>IF(A34&lt;D3,30,"")</f>
        <v/>
      </c>
      <c r="B35" s="126" t="s">
        <v>463</v>
      </c>
      <c r="C35" s="32">
        <v>30339</v>
      </c>
      <c r="D35" s="31">
        <f t="shared" ca="1" si="0"/>
        <v>36</v>
      </c>
      <c r="E35" s="36" t="s">
        <v>462</v>
      </c>
      <c r="F35" s="125" t="s">
        <v>480</v>
      </c>
      <c r="G35" s="36">
        <v>2</v>
      </c>
      <c r="H35" s="32">
        <v>43344</v>
      </c>
      <c r="I35" s="36" t="s">
        <v>405</v>
      </c>
      <c r="J35" s="37"/>
    </row>
    <row r="36" spans="1:10">
      <c r="A36" s="27" t="str">
        <f>IF(A35&lt;D3,31,"")</f>
        <v/>
      </c>
      <c r="B36" s="123"/>
      <c r="C36" s="34"/>
      <c r="D36" s="31" t="str">
        <f t="shared" ca="1" si="0"/>
        <v/>
      </c>
      <c r="E36" s="124"/>
      <c r="F36" s="125"/>
      <c r="G36" s="38"/>
      <c r="H36" s="34"/>
      <c r="I36" s="124"/>
      <c r="J36" s="40"/>
    </row>
    <row r="37" spans="1:10">
      <c r="A37" s="27" t="str">
        <f>IF(A36&lt;D3,32,"")</f>
        <v/>
      </c>
      <c r="B37" s="123"/>
      <c r="C37" s="34"/>
      <c r="D37" s="31" t="str">
        <f t="shared" ca="1" si="0"/>
        <v/>
      </c>
      <c r="E37" s="124"/>
      <c r="F37" s="125"/>
      <c r="G37" s="38"/>
      <c r="H37" s="34"/>
      <c r="I37" s="124"/>
      <c r="J37" s="40"/>
    </row>
    <row r="38" spans="1:10">
      <c r="A38" s="27" t="str">
        <f>IF(A37&lt;D3,33,"")</f>
        <v/>
      </c>
      <c r="B38" s="123"/>
      <c r="C38" s="34"/>
      <c r="D38" s="31" t="str">
        <f t="shared" ca="1" si="0"/>
        <v/>
      </c>
      <c r="E38" s="36"/>
      <c r="F38" s="125"/>
      <c r="G38" s="38"/>
      <c r="H38" s="34"/>
      <c r="I38" s="124"/>
      <c r="J38" s="40"/>
    </row>
    <row r="39" spans="1:10">
      <c r="A39" s="27" t="str">
        <f>IF(A38&lt;D3,34,"")</f>
        <v/>
      </c>
      <c r="B39" s="28"/>
      <c r="C39" s="34"/>
      <c r="D39" s="31" t="str">
        <f t="shared" ca="1" si="0"/>
        <v/>
      </c>
      <c r="E39" s="38"/>
      <c r="F39" s="39"/>
      <c r="G39" s="38"/>
      <c r="H39" s="34"/>
      <c r="I39" s="38"/>
      <c r="J39" s="40"/>
    </row>
    <row r="40" spans="1:10">
      <c r="A40" s="27" t="str">
        <f>IF(A39&lt;D3,35,"")</f>
        <v/>
      </c>
      <c r="B40" s="28"/>
      <c r="C40" s="34"/>
      <c r="D40" s="31" t="str">
        <f t="shared" ca="1" si="0"/>
        <v/>
      </c>
      <c r="E40" s="38"/>
      <c r="F40" s="39"/>
      <c r="G40" s="38"/>
      <c r="H40" s="34"/>
      <c r="I40" s="38"/>
      <c r="J40" s="40"/>
    </row>
    <row r="41" spans="1:10">
      <c r="A41" s="27" t="str">
        <f>IF(A40&lt;D3,36,"")</f>
        <v/>
      </c>
      <c r="B41" s="28"/>
      <c r="C41" s="34"/>
      <c r="D41" s="31" t="str">
        <f t="shared" ca="1" si="0"/>
        <v/>
      </c>
      <c r="E41" s="38"/>
      <c r="F41" s="39"/>
      <c r="G41" s="38"/>
      <c r="H41" s="34"/>
      <c r="I41" s="38"/>
      <c r="J41" s="40"/>
    </row>
    <row r="42" spans="1:10">
      <c r="A42" s="27" t="str">
        <f>IF(A41&lt;D3,37,"")</f>
        <v/>
      </c>
      <c r="B42" s="28"/>
      <c r="C42" s="34"/>
      <c r="D42" s="31" t="str">
        <f t="shared" ca="1" si="0"/>
        <v/>
      </c>
      <c r="E42" s="38"/>
      <c r="F42" s="39"/>
      <c r="G42" s="38"/>
      <c r="H42" s="34"/>
      <c r="I42" s="38"/>
      <c r="J42" s="40"/>
    </row>
    <row r="43" spans="1:10">
      <c r="A43" s="27" t="str">
        <f>IF(A42&lt;D3,38,"")</f>
        <v/>
      </c>
      <c r="B43" s="28"/>
      <c r="C43" s="34"/>
      <c r="D43" s="31" t="str">
        <f t="shared" ca="1" si="0"/>
        <v/>
      </c>
      <c r="E43" s="38"/>
      <c r="F43" s="39"/>
      <c r="G43" s="38"/>
      <c r="H43" s="34"/>
      <c r="I43" s="38"/>
      <c r="J43" s="40"/>
    </row>
    <row r="44" spans="1:10">
      <c r="A44" s="27" t="str">
        <f>IF(A43&lt;D3,39,"")</f>
        <v/>
      </c>
      <c r="B44" s="28"/>
      <c r="C44" s="34"/>
      <c r="D44" s="31" t="str">
        <f t="shared" ca="1" si="0"/>
        <v/>
      </c>
      <c r="E44" s="38"/>
      <c r="F44" s="39"/>
      <c r="G44" s="38"/>
      <c r="H44" s="34"/>
      <c r="I44" s="38"/>
      <c r="J44" s="40"/>
    </row>
    <row r="45" spans="1:10">
      <c r="A45" s="27" t="str">
        <f>IF(A44&lt;D3,40,"")</f>
        <v/>
      </c>
      <c r="B45" s="28"/>
      <c r="C45" s="34"/>
      <c r="D45" s="31" t="str">
        <f t="shared" ca="1" si="0"/>
        <v/>
      </c>
      <c r="E45" s="38"/>
      <c r="F45" s="39"/>
      <c r="G45" s="38"/>
      <c r="H45" s="34"/>
      <c r="I45" s="38"/>
      <c r="J45" s="40"/>
    </row>
    <row r="46" spans="1:10">
      <c r="A46" s="27" t="str">
        <f>IF(A45&lt;D3,41,"")</f>
        <v/>
      </c>
      <c r="B46" s="28"/>
      <c r="C46" s="34"/>
      <c r="D46" s="31" t="str">
        <f t="shared" ca="1" si="0"/>
        <v/>
      </c>
      <c r="E46" s="38"/>
      <c r="F46" s="39"/>
      <c r="G46" s="38"/>
      <c r="H46" s="34"/>
      <c r="I46" s="38"/>
      <c r="J46" s="40"/>
    </row>
    <row r="47" spans="1:10">
      <c r="A47" s="27" t="str">
        <f>IF(A46&lt;D3,42,"")</f>
        <v/>
      </c>
      <c r="B47" s="28"/>
      <c r="C47" s="34"/>
      <c r="D47" s="31" t="str">
        <f t="shared" ca="1" si="0"/>
        <v/>
      </c>
      <c r="E47" s="38"/>
      <c r="F47" s="39"/>
      <c r="G47" s="38"/>
      <c r="H47" s="34"/>
      <c r="I47" s="38"/>
      <c r="J47" s="40"/>
    </row>
    <row r="48" spans="1:10">
      <c r="A48" s="27" t="str">
        <f>IF(A47&lt;D3,43,"")</f>
        <v/>
      </c>
      <c r="B48" s="28"/>
      <c r="C48" s="34"/>
      <c r="D48" s="31" t="str">
        <f t="shared" ca="1" si="0"/>
        <v/>
      </c>
      <c r="E48" s="38"/>
      <c r="F48" s="39"/>
      <c r="G48" s="38"/>
      <c r="H48" s="34"/>
      <c r="I48" s="38"/>
      <c r="J48" s="40"/>
    </row>
    <row r="49" spans="1:10">
      <c r="A49" s="27" t="str">
        <f>IF(A48&lt;D3,44,"")</f>
        <v/>
      </c>
      <c r="B49" s="28"/>
      <c r="C49" s="34"/>
      <c r="D49" s="31" t="str">
        <f t="shared" ca="1" si="0"/>
        <v/>
      </c>
      <c r="E49" s="38"/>
      <c r="F49" s="39"/>
      <c r="G49" s="38"/>
      <c r="H49" s="34"/>
      <c r="I49" s="38"/>
      <c r="J49" s="40"/>
    </row>
    <row r="50" spans="1:10">
      <c r="A50" s="27" t="str">
        <f>IF(A49&lt;D3,45,"")</f>
        <v/>
      </c>
      <c r="B50" s="28"/>
      <c r="C50" s="34"/>
      <c r="D50" s="31" t="str">
        <f t="shared" ca="1" si="0"/>
        <v/>
      </c>
      <c r="E50" s="38"/>
      <c r="F50" s="39"/>
      <c r="G50" s="38"/>
      <c r="H50" s="34"/>
      <c r="I50" s="38"/>
      <c r="J50" s="40"/>
    </row>
    <row r="51" spans="1:10">
      <c r="A51" s="27" t="str">
        <f>IF(A50&lt;D3,46,"")</f>
        <v/>
      </c>
      <c r="B51" s="28"/>
      <c r="C51" s="34"/>
      <c r="D51" s="31" t="str">
        <f t="shared" ca="1" si="0"/>
        <v/>
      </c>
      <c r="E51" s="38"/>
      <c r="F51" s="39"/>
      <c r="G51" s="38"/>
      <c r="H51" s="34"/>
      <c r="I51" s="38"/>
      <c r="J51" s="40"/>
    </row>
    <row r="52" spans="1:10">
      <c r="A52" s="27" t="str">
        <f>IF(A51&lt;D3,47,"")</f>
        <v/>
      </c>
      <c r="B52" s="28"/>
      <c r="C52" s="34"/>
      <c r="D52" s="31" t="str">
        <f t="shared" ca="1" si="0"/>
        <v/>
      </c>
      <c r="E52" s="38"/>
      <c r="F52" s="39"/>
      <c r="G52" s="38"/>
      <c r="H52" s="34"/>
      <c r="I52" s="38"/>
      <c r="J52" s="40"/>
    </row>
    <row r="53" spans="1:10">
      <c r="A53" s="27" t="str">
        <f>IF(A52&lt;D3,48,"")</f>
        <v/>
      </c>
      <c r="B53" s="28"/>
      <c r="C53" s="34"/>
      <c r="D53" s="31" t="str">
        <f t="shared" ca="1" si="0"/>
        <v/>
      </c>
      <c r="E53" s="38"/>
      <c r="F53" s="39"/>
      <c r="G53" s="38"/>
      <c r="H53" s="34"/>
      <c r="I53" s="38"/>
      <c r="J53" s="40"/>
    </row>
    <row r="54" spans="1:10">
      <c r="A54" s="27" t="str">
        <f>IF(A53&lt;D3,49,"")</f>
        <v/>
      </c>
      <c r="B54" s="28"/>
      <c r="C54" s="34"/>
      <c r="D54" s="31" t="str">
        <f t="shared" ca="1" si="0"/>
        <v/>
      </c>
      <c r="E54" s="38"/>
      <c r="F54" s="39"/>
      <c r="G54" s="38"/>
      <c r="H54" s="34"/>
      <c r="I54" s="38"/>
      <c r="J54" s="40"/>
    </row>
    <row r="55" spans="1:10">
      <c r="A55" s="27" t="str">
        <f>IF(A54&lt;D3,50,"")</f>
        <v/>
      </c>
      <c r="B55" s="28"/>
      <c r="C55" s="34"/>
      <c r="D55" s="31" t="str">
        <f t="shared" ca="1" si="0"/>
        <v/>
      </c>
      <c r="E55" s="38"/>
      <c r="F55" s="39"/>
      <c r="G55" s="38"/>
      <c r="H55" s="34"/>
      <c r="I55" s="38"/>
      <c r="J55" s="40"/>
    </row>
    <row r="56" spans="1:10">
      <c r="A56" s="27" t="str">
        <f>IF(A55&lt;D3,51,"")</f>
        <v/>
      </c>
      <c r="B56" s="28"/>
      <c r="C56" s="34"/>
      <c r="D56" s="31" t="str">
        <f t="shared" ca="1" si="0"/>
        <v/>
      </c>
      <c r="E56" s="38"/>
      <c r="F56" s="39"/>
      <c r="G56" s="38"/>
      <c r="H56" s="34"/>
      <c r="I56" s="38"/>
      <c r="J56" s="40"/>
    </row>
    <row r="57" spans="1:10">
      <c r="A57" s="27" t="str">
        <f>IF(A56&lt;D3,52,"")</f>
        <v/>
      </c>
      <c r="B57" s="28"/>
      <c r="C57" s="34"/>
      <c r="D57" s="31" t="str">
        <f t="shared" ca="1" si="0"/>
        <v/>
      </c>
      <c r="E57" s="38"/>
      <c r="F57" s="39"/>
      <c r="G57" s="38"/>
      <c r="H57" s="34"/>
      <c r="I57" s="38"/>
      <c r="J57" s="40"/>
    </row>
    <row r="58" spans="1:10">
      <c r="A58" s="27" t="str">
        <f>IF(A57&lt;D3,53,"")</f>
        <v/>
      </c>
      <c r="B58" s="28"/>
      <c r="C58" s="34"/>
      <c r="D58" s="31" t="str">
        <f t="shared" ca="1" si="0"/>
        <v/>
      </c>
      <c r="E58" s="38"/>
      <c r="F58" s="39"/>
      <c r="G58" s="38"/>
      <c r="H58" s="34"/>
      <c r="I58" s="38"/>
      <c r="J58" s="40"/>
    </row>
    <row r="59" spans="1:10">
      <c r="A59" s="27" t="str">
        <f>IF(A58&lt;D3,54,"")</f>
        <v/>
      </c>
      <c r="B59" s="28"/>
      <c r="C59" s="34"/>
      <c r="D59" s="31" t="str">
        <f t="shared" ca="1" si="0"/>
        <v/>
      </c>
      <c r="E59" s="38"/>
      <c r="F59" s="39"/>
      <c r="G59" s="38"/>
      <c r="H59" s="34"/>
      <c r="I59" s="38"/>
      <c r="J59" s="40"/>
    </row>
    <row r="60" spans="1:10">
      <c r="A60" s="27" t="str">
        <f>IF(A59&lt;D3,55,"")</f>
        <v/>
      </c>
      <c r="B60" s="28"/>
      <c r="C60" s="34"/>
      <c r="D60" s="31" t="str">
        <f t="shared" ca="1" si="0"/>
        <v/>
      </c>
      <c r="E60" s="38"/>
      <c r="F60" s="39"/>
      <c r="G60" s="38"/>
      <c r="H60" s="34"/>
      <c r="I60" s="38"/>
      <c r="J60" s="40"/>
    </row>
    <row r="61" spans="1:10">
      <c r="A61" s="27" t="str">
        <f>IF(A60&lt;D3,56,"")</f>
        <v/>
      </c>
      <c r="B61" s="28"/>
      <c r="C61" s="34"/>
      <c r="D61" s="31" t="str">
        <f t="shared" ca="1" si="0"/>
        <v/>
      </c>
      <c r="E61" s="38"/>
      <c r="F61" s="39"/>
      <c r="G61" s="38"/>
      <c r="H61" s="34"/>
      <c r="I61" s="38"/>
      <c r="J61" s="40"/>
    </row>
    <row r="62" spans="1:10">
      <c r="A62" s="27" t="str">
        <f>IF(A61&lt;D3,57,"")</f>
        <v/>
      </c>
      <c r="B62" s="28"/>
      <c r="C62" s="34"/>
      <c r="D62" s="31" t="str">
        <f t="shared" ca="1" si="0"/>
        <v/>
      </c>
      <c r="E62" s="38"/>
      <c r="F62" s="39"/>
      <c r="G62" s="38"/>
      <c r="H62" s="34"/>
      <c r="I62" s="38"/>
      <c r="J62" s="40"/>
    </row>
    <row r="63" spans="1:10">
      <c r="A63" s="27" t="str">
        <f>IF(A62&lt;D3,58,"")</f>
        <v/>
      </c>
      <c r="B63" s="28"/>
      <c r="C63" s="34"/>
      <c r="D63" s="31" t="str">
        <f t="shared" ca="1" si="0"/>
        <v/>
      </c>
      <c r="E63" s="38"/>
      <c r="F63" s="39"/>
      <c r="G63" s="38"/>
      <c r="H63" s="34"/>
      <c r="I63" s="38"/>
      <c r="J63" s="40"/>
    </row>
    <row r="64" spans="1:10">
      <c r="A64" s="27" t="str">
        <f>IF(A63&lt;D3,59,"")</f>
        <v/>
      </c>
      <c r="B64" s="28"/>
      <c r="C64" s="34"/>
      <c r="D64" s="31" t="str">
        <f t="shared" ca="1" si="0"/>
        <v/>
      </c>
      <c r="E64" s="38"/>
      <c r="F64" s="39"/>
      <c r="G64" s="38"/>
      <c r="H64" s="34"/>
      <c r="I64" s="38"/>
      <c r="J64" s="40"/>
    </row>
    <row r="65" spans="1:10">
      <c r="A65" s="27" t="str">
        <f>IF(A64&lt;D3,60,"")</f>
        <v/>
      </c>
      <c r="B65" s="28"/>
      <c r="C65" s="34"/>
      <c r="D65" s="31" t="str">
        <f t="shared" ca="1" si="0"/>
        <v/>
      </c>
      <c r="E65" s="38"/>
      <c r="F65" s="39"/>
      <c r="G65" s="38"/>
      <c r="H65" s="34"/>
      <c r="I65" s="38"/>
      <c r="J65" s="40"/>
    </row>
    <row r="66" spans="1:10">
      <c r="A66" s="27" t="str">
        <f>IF(A65&lt;D3,61,"")</f>
        <v/>
      </c>
      <c r="B66" s="28"/>
      <c r="C66" s="34"/>
      <c r="D66" s="31" t="str">
        <f t="shared" ca="1" si="0"/>
        <v/>
      </c>
      <c r="E66" s="38"/>
      <c r="F66" s="39"/>
      <c r="G66" s="38"/>
      <c r="H66" s="34"/>
      <c r="I66" s="38"/>
      <c r="J66" s="40"/>
    </row>
    <row r="67" spans="1:10">
      <c r="A67" s="27" t="str">
        <f>IF(A66&lt;D3,62,"")</f>
        <v/>
      </c>
      <c r="B67" s="28"/>
      <c r="C67" s="34"/>
      <c r="D67" s="31" t="str">
        <f t="shared" ca="1" si="0"/>
        <v/>
      </c>
      <c r="E67" s="38"/>
      <c r="F67" s="39"/>
      <c r="G67" s="38"/>
      <c r="H67" s="34"/>
      <c r="I67" s="38"/>
      <c r="J67" s="40"/>
    </row>
    <row r="68" spans="1:10">
      <c r="A68" s="27" t="str">
        <f>IF(A67&lt;D3,63,"")</f>
        <v/>
      </c>
      <c r="B68" s="28"/>
      <c r="C68" s="34"/>
      <c r="D68" s="31" t="str">
        <f t="shared" ca="1" si="0"/>
        <v/>
      </c>
      <c r="E68" s="38"/>
      <c r="F68" s="39"/>
      <c r="G68" s="38"/>
      <c r="H68" s="34"/>
      <c r="I68" s="38"/>
      <c r="J68" s="40"/>
    </row>
    <row r="69" spans="1:10">
      <c r="A69" s="27" t="str">
        <f>IF(A68&lt;D3,64,"")</f>
        <v/>
      </c>
      <c r="B69" s="28"/>
      <c r="C69" s="34"/>
      <c r="D69" s="31" t="str">
        <f t="shared" ca="1" si="0"/>
        <v/>
      </c>
      <c r="E69" s="38"/>
      <c r="F69" s="39"/>
      <c r="G69" s="38"/>
      <c r="H69" s="34"/>
      <c r="I69" s="38"/>
      <c r="J69" s="40"/>
    </row>
    <row r="70" spans="1:10">
      <c r="A70" s="27" t="str">
        <f>IF(A69&lt;D3,65,"")</f>
        <v/>
      </c>
      <c r="B70" s="28"/>
      <c r="C70" s="34"/>
      <c r="D70" s="31" t="str">
        <f t="shared" ca="1" si="0"/>
        <v/>
      </c>
      <c r="E70" s="38"/>
      <c r="F70" s="39"/>
      <c r="G70" s="38"/>
      <c r="H70" s="34"/>
      <c r="I70" s="38"/>
      <c r="J70" s="40"/>
    </row>
    <row r="71" spans="1:10">
      <c r="A71" s="27" t="str">
        <f>IF(A70&lt;D3,66,"")</f>
        <v/>
      </c>
      <c r="B71" s="28"/>
      <c r="C71" s="34"/>
      <c r="D71" s="31" t="str">
        <f t="shared" ref="D71:D73" ca="1" si="1">IF(C71&gt;0,DATEDIF(C71,TODAY(),"y"),"")</f>
        <v/>
      </c>
      <c r="E71" s="38"/>
      <c r="F71" s="39"/>
      <c r="G71" s="38"/>
      <c r="H71" s="34"/>
      <c r="I71" s="38"/>
      <c r="J71" s="40"/>
    </row>
    <row r="72" spans="1:10">
      <c r="A72" s="27" t="str">
        <f>IF(A71&lt;D3,67,"")</f>
        <v/>
      </c>
      <c r="B72" s="28"/>
      <c r="C72" s="34"/>
      <c r="D72" s="31" t="str">
        <f t="shared" ca="1" si="1"/>
        <v/>
      </c>
      <c r="E72" s="38"/>
      <c r="F72" s="39"/>
      <c r="G72" s="38"/>
      <c r="H72" s="34"/>
      <c r="I72" s="38"/>
      <c r="J72" s="40"/>
    </row>
    <row r="73" spans="1:10">
      <c r="A73" s="27" t="str">
        <f>IF(A72&lt;D3,68,"")</f>
        <v/>
      </c>
      <c r="B73" s="28"/>
      <c r="C73" s="34"/>
      <c r="D73" s="31" t="str">
        <f t="shared" ca="1" si="1"/>
        <v/>
      </c>
      <c r="E73" s="38"/>
      <c r="F73" s="39"/>
      <c r="G73" s="38"/>
      <c r="H73" s="34"/>
      <c r="I73" s="38"/>
      <c r="J73" s="40"/>
    </row>
    <row r="74" spans="1:10">
      <c r="A74" s="46"/>
      <c r="B74" s="55"/>
      <c r="C74" s="56"/>
      <c r="D74" s="49"/>
      <c r="E74" s="57"/>
      <c r="F74" s="58"/>
      <c r="G74" s="57"/>
      <c r="H74" s="56"/>
      <c r="I74" s="59"/>
      <c r="J74" s="59"/>
    </row>
  </sheetData>
  <sheetProtection password="CC6D" sheet="1" objects="1" scenarios="1" selectLockedCells="1"/>
  <mergeCells count="2">
    <mergeCell ref="A1:J1"/>
    <mergeCell ref="A3:C3"/>
  </mergeCells>
  <conditionalFormatting sqref="B6:C73">
    <cfRule type="cellIs" dxfId="30" priority="5" operator="greaterThan">
      <formula>0</formula>
    </cfRule>
  </conditionalFormatting>
  <conditionalFormatting sqref="E6:J73">
    <cfRule type="cellIs" dxfId="29" priority="4" operator="greaterThan">
      <formula>0</formula>
    </cfRule>
  </conditionalFormatting>
  <conditionalFormatting sqref="D6:D73">
    <cfRule type="cellIs" dxfId="28" priority="2" operator="between">
      <formula>1</formula>
      <formula>99</formula>
    </cfRule>
  </conditionalFormatting>
  <conditionalFormatting sqref="A6:A73">
    <cfRule type="cellIs" dxfId="27" priority="1" operator="between">
      <formula>0</formula>
      <formula>$D$3</formula>
    </cfRule>
  </conditionalFormatting>
  <dataValidations count="4">
    <dataValidation type="list" allowBlank="1" showInputMessage="1" showErrorMessage="1" sqref="I6:I73">
      <formula1>"Высшая, Первая, Без категории"</formula1>
    </dataValidation>
    <dataValidation type="decimal" allowBlank="1" showErrorMessage="1" error="Введите стаж педагогической работы преподавателя в формате &quot;Кол-во лет&quot;." sqref="G6:G73">
      <formula1>0</formula1>
      <formula2>80</formula2>
    </dataValidation>
    <dataValidation type="date" allowBlank="1" showErrorMessage="1" error="Введите дату начала работы в данном учреждении в формате &quot;день.месяц.год&quot;." sqref="H6:H73">
      <formula1>1</formula1>
      <formula2>43616</formula2>
    </dataValidation>
    <dataValidation type="date" allowBlank="1" showErrorMessage="1" error="Введите дату рождения в формате &quot;день.месяц.год&quot;." sqref="C6:C73">
      <formula1>1</formula1>
      <formula2>37621</formula2>
    </dataValidation>
  </dataValidations>
  <pageMargins left="0.7" right="0.7" top="0.75" bottom="0.75" header="0.3" footer="0.3"/>
  <pageSetup paperSize="9" orientation="landscape" r:id="rId1"/>
  <headerFooter>
    <oddHeader>&amp;R&amp;"Times New Roman,обычный"&amp;10Анализ деятельности образовательного учреждения культурыпо итогам 2018-2019 учебного года. Форма 1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15</vt:lpstr>
      <vt:lpstr>14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дши</cp:lastModifiedBy>
  <cp:lastPrinted>2019-06-11T09:21:04Z</cp:lastPrinted>
  <dcterms:created xsi:type="dcterms:W3CDTF">2006-09-16T00:00:00Z</dcterms:created>
  <dcterms:modified xsi:type="dcterms:W3CDTF">2019-06-14T10:52:52Z</dcterms:modified>
</cp:coreProperties>
</file>